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5" yWindow="6315" windowWidth="19440" windowHeight="5655" tabRatio="902" activeTab="12"/>
  </bookViews>
  <sheets>
    <sheet name="Page couverture" sheetId="18" r:id="rId1"/>
    <sheet name="Sommaire exécutif" sheetId="10" r:id="rId2"/>
    <sheet name="Paramètres" sheetId="1" r:id="rId3"/>
    <sheet name="Déclaration" sheetId="3" r:id="rId4"/>
    <sheet name="Caractérisation" sheetId="4" r:id="rId5"/>
    <sheet name="Coûts nets" sheetId="7" r:id="rId6"/>
    <sheet name="Sommaire matières" sheetId="17" r:id="rId7"/>
    <sheet name="Facteur 1" sheetId="11" r:id="rId8"/>
    <sheet name="Facteur 2" sheetId="13" r:id="rId9"/>
    <sheet name="Facteur 3" sheetId="12" r:id="rId10"/>
    <sheet name="Frais de gestion &amp; RQ" sheetId="15" r:id="rId11"/>
    <sheet name="Crédit contenu recyclé" sheetId="8" r:id="rId12"/>
    <sheet name="Tarif" sheetId="2" r:id="rId13"/>
  </sheets>
  <externalReferences>
    <externalReference r:id="rId14"/>
  </externalReferences>
  <definedNames>
    <definedName name="AnnéeRéf" localSheetId="0">[1]Paramètres!$C$6</definedName>
    <definedName name="AnnéeRéf">Paramètres!$C$6</definedName>
    <definedName name="AnnéeTarif" localSheetId="0">[1]Paramètres!$C$4</definedName>
    <definedName name="AnnéeTarif">Paramètres!$C$4</definedName>
    <definedName name="AnticipationTarifFixe">Paramètres!$C$20</definedName>
    <definedName name="AutresParamètres">Paramètres!$J$4:$J$32</definedName>
    <definedName name="CompensationMaxRM" localSheetId="0">[1]Paramètres!$C$15</definedName>
    <definedName name="CompensationMaxRM">Paramètres!$C$15</definedName>
    <definedName name="CoûtsAssumésEEQ" localSheetId="0">'[1]Coûts nets'!$C$16</definedName>
    <definedName name="CoûtsAssumésEEQ">'Coûts nets'!$C$19</definedName>
    <definedName name="CoûtsAssumésIndustrie" localSheetId="0">'[1]Coûts nets'!$C$14</definedName>
    <definedName name="CoûtsAssumésIndustrie">'Coûts nets'!$C$16</definedName>
    <definedName name="CoûtsNetsAprèsMatOrph" localSheetId="0">'[1]Coûts nets'!$C$7</definedName>
    <definedName name="CoûtsNetsAprèsMatOrph">'Coûts nets'!$C$8</definedName>
    <definedName name="CoûtsNetsDéclarés" localSheetId="0">[1]Paramètres!$C$9</definedName>
    <definedName name="CoûtsNetsDéclarés">Paramètres!$C$9</definedName>
    <definedName name="CoutsNetsEstimé">'Coûts nets'!$C$10</definedName>
    <definedName name="CoûtTotalCompenser">'Coûts nets'!$H$53</definedName>
    <definedName name="Facteur1" localSheetId="0">[1]Paramètres!$C$22</definedName>
    <definedName name="Facteur1">Paramètres!$C$23</definedName>
    <definedName name="Facteur2" localSheetId="0">[1]Paramètres!$C$23</definedName>
    <definedName name="Facteur2">Paramètres!$C$24</definedName>
    <definedName name="Facteur3" localSheetId="0">[1]Paramètres!$C$24</definedName>
    <definedName name="Facteur3">Paramètres!$C$25</definedName>
    <definedName name="FondsRetraitCE" localSheetId="0">[1]Paramètres!$C$52</definedName>
    <definedName name="FondsRetraitCE">Paramètres!$C$42</definedName>
    <definedName name="FondsRetraitConjoint" localSheetId="0">[1]Paramètres!$C$50</definedName>
    <definedName name="FondsRetraitConjoint">Paramètres!$C$40</definedName>
    <definedName name="FondsRetraitImprimé" localSheetId="0">[1]Paramètres!$C$51</definedName>
    <definedName name="FondsRetraitImprimé">Paramètres!$C$41</definedName>
    <definedName name="FondsRisque">'Coûts nets'!$C$35</definedName>
    <definedName name="FondsRisqueActuel" localSheetId="0">[1]Paramètres!$C$47</definedName>
    <definedName name="FondsRisqueActuel">Paramètres!$C$37</definedName>
    <definedName name="FondsRisquePourcCible" localSheetId="0">[1]Paramètres!$C$48</definedName>
    <definedName name="FondsRisquePourcCible">Paramètres!$C$38</definedName>
    <definedName name="FraisAdminÉEQ" localSheetId="0">[1]Paramètres!$C$17</definedName>
    <definedName name="FraisAdminÉEQ">Paramètres!$C$17</definedName>
    <definedName name="FraisGestionImputés" localSheetId="0">'[1]Coûts nets'!$C$27</definedName>
    <definedName name="FraisGestionImputés">'Coûts nets'!$C$30</definedName>
    <definedName name="FraisMun" localSheetId="0">[1]Paramètres!$C$12</definedName>
    <definedName name="FraisMun">Paramètres!$C$12</definedName>
    <definedName name="FraisProvisionEtRisque" localSheetId="0">'[1]Coûts nets'!$C$33</definedName>
    <definedName name="FraisProvisionEtRisque">'Coûts nets'!$C$37</definedName>
    <definedName name="FraisRDÉEQ" localSheetId="0">[1]Paramètres!$C$18</definedName>
    <definedName name="FraisRDÉEQ">Paramètres!$C$18</definedName>
    <definedName name="FraisRQ">'Coûts nets'!$C$23</definedName>
    <definedName name="_xlnm.Print_Titles" localSheetId="4">Caractérisation!#REF!</definedName>
    <definedName name="_xlnm.Print_Titles" localSheetId="12">Tarif!$B:$C,Tarif!$2:$3</definedName>
    <definedName name="IndemnitéRQ" localSheetId="0">[1]Paramètres!$C$16</definedName>
    <definedName name="IndemnitéRQ">Paramètres!$C$16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steMatières" localSheetId="0">[1]!tblMatièresParam[Matière1]</definedName>
    <definedName name="ListeMatières">Paramètres!$B$46:$B$75</definedName>
    <definedName name="ObjectifRecup" localSheetId="0">[1]Paramètres!$C$25</definedName>
    <definedName name="ObjectifRecup">Paramètres!$C$26</definedName>
    <definedName name="ParamètresComp" localSheetId="0">#REF!</definedName>
    <definedName name="ParamètresComp">#REF!</definedName>
    <definedName name="PartCERelative">'Coûts nets'!$D$52</definedName>
    <definedName name="PartCoutContenants" localSheetId="0">[1]Paramètres!$C$29</definedName>
    <definedName name="PartCoutContenants">Paramètres!$C$30</definedName>
    <definedName name="PartCoutImprimés" localSheetId="0">[1]Paramètres!$C$28</definedName>
    <definedName name="PartCoutImprimés">Paramètres!$C$29</definedName>
    <definedName name="PartCoutMag">[1]Paramètres!#REF!</definedName>
    <definedName name="PartEEQ" localSheetId="0">[1]Paramètres!$C$14</definedName>
    <definedName name="PartEEQ">Paramètres!$C$14</definedName>
    <definedName name="PartImprimésConj">Paramètres!#REF!</definedName>
    <definedName name="PartImprimésInd">Paramètres!#REF!</definedName>
    <definedName name="PartImprimésRelative">'Coûts nets'!$D$51</definedName>
    <definedName name="PartIndustrie" localSheetId="0">[1]Paramètres!$C$13</definedName>
    <definedName name="PartIndustrie">Paramètres!$C$13</definedName>
    <definedName name="PourcMatOrphelines" localSheetId="0">[1]Paramètres!$C$10</definedName>
    <definedName name="PourcMatOrphelines">Paramètres!$C$10</definedName>
    <definedName name="PourcPE" localSheetId="0">[1]Paramètres!$C$11</definedName>
    <definedName name="PourcPE">Paramètres!$C$11</definedName>
    <definedName name="Proportion_autres">Paramètres!#REF!</definedName>
    <definedName name="Proportion_contenants">Paramètres!#REF!</definedName>
    <definedName name="Proportion_imprimés">Paramètres!#REF!</definedName>
    <definedName name="Proportion_Journaux">Paramètres!#REF!</definedName>
    <definedName name="ProvCréances" localSheetId="0">[1]Paramètres!$C$19</definedName>
    <definedName name="ProvCréances">Paramètres!$C$19</definedName>
    <definedName name="RabaisCrédit" localSheetId="0">[1]Paramètres!$C$33</definedName>
    <definedName name="RabaisCrédit">Paramètres!$C$34</definedName>
    <definedName name="rgAjustements_Matière">[1]Ajustements!$C$7:$C$37</definedName>
    <definedName name="rgAjustements_MatièreCarac">[1]Ajustements!$E$7:$E$37</definedName>
    <definedName name="rgAjustements_PourcCarac">[1]Ajustements!$G$7:$G$37</definedName>
    <definedName name="rgCarac_Matières">[1]Caractérisation!$C$7:$C$40</definedName>
    <definedName name="rgCarac_QtéGén">[1]Caractérisation!$D$7:$D$40</definedName>
    <definedName name="rgCarac_QtéRécup">[1]Caractérisation!$E$7:$E$40</definedName>
    <definedName name="rgDéclaration_Matières" localSheetId="0">[1]Déclaration!$C$6:$C$35</definedName>
    <definedName name="rgDéclaration_Matières">Déclaration!$C$6:$C$35</definedName>
    <definedName name="rgDéclaration_NbDécl" localSheetId="0">[1]Déclaration!$D$6:$D$35</definedName>
    <definedName name="rgDéclaration_NbDécl">Déclaration!$D$6:$D$35</definedName>
    <definedName name="rgDéclaration_QtéÉCOD">[1]Déclaration!#REF!</definedName>
    <definedName name="rgDéclaration_QtéFinale" localSheetId="0">[1]Déclaration!$E$6:$E$35</definedName>
    <definedName name="rgDéclaration_QtéFinale">Déclaration!$E$6:$E$35</definedName>
    <definedName name="rgTarif_Matières" localSheetId="0">[1]Tarif!$B$10:$B$50</definedName>
    <definedName name="rgTarif_Matières">Tarif!$C$11:$C$51</definedName>
    <definedName name="rgTarif_TxAmalgamé" localSheetId="0">[1]Tarif!#REF!</definedName>
    <definedName name="rgTarif_TxAmalgamé">Tarif!#REF!</definedName>
    <definedName name="rgTarif_TxFinal" localSheetId="0">[1]Tarif!$L$10:$L$50</definedName>
    <definedName name="rgTarif_TxFinal">Tarif!$M$11:$M$51</definedName>
    <definedName name="TauxStewardship">Paramètres!$B$45:$D$75</definedName>
    <definedName name="TonnageCrédit" localSheetId="0">[1]Paramètres!$C$32</definedName>
    <definedName name="TonnageCrédit">Paramètres!$C$33</definedName>
    <definedName name="_xlnm.Print_Area" localSheetId="4">Caractérisation!#REF!,Caractérisation!#REF!</definedName>
    <definedName name="_xlnm.Print_Area" localSheetId="5">'Coûts nets'!$B$2:$I$54</definedName>
    <definedName name="_xlnm.Print_Area" localSheetId="11">'Crédit contenu recyclé'!$A$1:$K$46</definedName>
    <definedName name="_xlnm.Print_Area" localSheetId="3">Déclaration!$B$2:$E$36</definedName>
    <definedName name="_xlnm.Print_Area" localSheetId="10">'Frais de gestion &amp; RQ'!$A$1:$G$50</definedName>
    <definedName name="_xlnm.Print_Area" localSheetId="2">Paramètres!$B$1:$I$43</definedName>
    <definedName name="_xlnm.Print_Area" localSheetId="1">'Sommaire exécutif'!$A$1:$K$49</definedName>
    <definedName name="_xlnm.Print_Area" localSheetId="12">Tarif!$B$2:$M$51</definedName>
  </definedNames>
  <calcPr calcId="162913"/>
</workbook>
</file>

<file path=xl/calcChain.xml><?xml version="1.0" encoding="utf-8"?>
<calcChain xmlns="http://schemas.openxmlformats.org/spreadsheetml/2006/main">
  <c r="L38" i="12" l="1"/>
  <c r="J38" i="13"/>
  <c r="H38" i="11"/>
  <c r="C39" i="7" l="1"/>
  <c r="C47" i="2" l="1"/>
  <c r="C46" i="2"/>
  <c r="C44" i="2"/>
  <c r="C43" i="2"/>
  <c r="C41" i="2"/>
  <c r="C40" i="2"/>
  <c r="B42" i="8"/>
  <c r="B41" i="8"/>
  <c r="B39" i="8"/>
  <c r="B38" i="8"/>
  <c r="B36" i="8"/>
  <c r="B35" i="8"/>
  <c r="C38" i="2"/>
  <c r="C37" i="2"/>
  <c r="B33" i="8"/>
  <c r="B32" i="8"/>
  <c r="B46" i="15"/>
  <c r="B45" i="15"/>
  <c r="B43" i="15"/>
  <c r="B42" i="15"/>
  <c r="B40" i="15"/>
  <c r="B39" i="15"/>
  <c r="B37" i="15"/>
  <c r="B36" i="15"/>
  <c r="B46" i="12"/>
  <c r="B45" i="12"/>
  <c r="B43" i="12"/>
  <c r="B42" i="12"/>
  <c r="B40" i="12"/>
  <c r="B39" i="12"/>
  <c r="B37" i="12"/>
  <c r="B36" i="12"/>
  <c r="B46" i="13"/>
  <c r="B45" i="13"/>
  <c r="B43" i="13"/>
  <c r="B42" i="13"/>
  <c r="B40" i="13"/>
  <c r="B39" i="13"/>
  <c r="B37" i="13"/>
  <c r="B36" i="13"/>
  <c r="B46" i="11"/>
  <c r="B45" i="11"/>
  <c r="B43" i="11"/>
  <c r="B42" i="11"/>
  <c r="B40" i="11"/>
  <c r="B39" i="11"/>
  <c r="B37" i="11"/>
  <c r="B45" i="10"/>
  <c r="B44" i="10"/>
  <c r="B42" i="10"/>
  <c r="B41" i="10"/>
  <c r="B39" i="10"/>
  <c r="B38" i="10"/>
  <c r="B36" i="10"/>
  <c r="B35" i="10"/>
  <c r="H33" i="8" l="1"/>
  <c r="K33" i="8" s="1"/>
  <c r="J33" i="8" s="1"/>
  <c r="F33" i="8"/>
  <c r="D33" i="8"/>
  <c r="B7" i="12" l="1"/>
  <c r="B51" i="2" l="1"/>
  <c r="B49" i="2"/>
  <c r="B48" i="2"/>
  <c r="B46" i="2"/>
  <c r="B45" i="2"/>
  <c r="B43" i="2"/>
  <c r="B42" i="2"/>
  <c r="B40" i="2"/>
  <c r="B39" i="2"/>
  <c r="B28" i="2"/>
  <c r="B27" i="2"/>
  <c r="B20" i="2"/>
  <c r="B19" i="2"/>
  <c r="B17" i="2"/>
  <c r="B10" i="2"/>
  <c r="M8" i="2"/>
  <c r="G8" i="2"/>
  <c r="F8" i="2"/>
  <c r="E8" i="2"/>
  <c r="D8" i="2"/>
  <c r="C8" i="2"/>
  <c r="B8" i="2"/>
  <c r="G4" i="8"/>
  <c r="A46" i="8"/>
  <c r="A44" i="8"/>
  <c r="A43" i="8"/>
  <c r="A41" i="8"/>
  <c r="A40" i="8"/>
  <c r="A38" i="8"/>
  <c r="A37" i="8"/>
  <c r="A35" i="8"/>
  <c r="A34" i="8"/>
  <c r="A23" i="8"/>
  <c r="A22" i="8"/>
  <c r="A15" i="8"/>
  <c r="A14" i="8"/>
  <c r="A12" i="8"/>
  <c r="A5" i="8"/>
  <c r="B4" i="8"/>
  <c r="A4" i="8"/>
  <c r="A50" i="15"/>
  <c r="A48" i="15"/>
  <c r="A47" i="15"/>
  <c r="A45" i="15"/>
  <c r="A44" i="15"/>
  <c r="A42" i="15"/>
  <c r="A41" i="15"/>
  <c r="A39" i="15"/>
  <c r="A38" i="15"/>
  <c r="A27" i="15"/>
  <c r="A26" i="15"/>
  <c r="A19" i="15"/>
  <c r="A18" i="15"/>
  <c r="A16" i="15"/>
  <c r="A9" i="15"/>
  <c r="B7" i="15"/>
  <c r="A7" i="15"/>
  <c r="K7" i="12"/>
  <c r="A52" i="12"/>
  <c r="A50" i="12"/>
  <c r="A48" i="12"/>
  <c r="A47" i="12"/>
  <c r="A45" i="12"/>
  <c r="A44" i="12"/>
  <c r="A42" i="12"/>
  <c r="A41" i="12"/>
  <c r="A39" i="12"/>
  <c r="A38" i="12"/>
  <c r="A27" i="12"/>
  <c r="A26" i="12"/>
  <c r="A19" i="12"/>
  <c r="A18" i="12"/>
  <c r="A16" i="12"/>
  <c r="A9" i="12"/>
  <c r="A7" i="12"/>
  <c r="W5" i="17"/>
  <c r="W6" i="17"/>
  <c r="W7" i="17"/>
  <c r="W8" i="17"/>
  <c r="W9" i="17"/>
  <c r="W10" i="17"/>
  <c r="W11" i="17"/>
  <c r="W12" i="17"/>
  <c r="W13" i="17"/>
  <c r="W14" i="17"/>
  <c r="W15" i="17"/>
  <c r="W16" i="17"/>
  <c r="W17" i="17"/>
  <c r="W18" i="17"/>
  <c r="W19" i="17"/>
  <c r="W20" i="17"/>
  <c r="W21" i="17"/>
  <c r="W22" i="17"/>
  <c r="W23" i="17"/>
  <c r="W24" i="17"/>
  <c r="W25" i="17"/>
  <c r="W26" i="17"/>
  <c r="W27" i="17"/>
  <c r="W28" i="17"/>
  <c r="W29" i="17"/>
  <c r="W30" i="17"/>
  <c r="W31" i="17"/>
  <c r="W32" i="17"/>
  <c r="W33" i="17"/>
  <c r="W34" i="17"/>
  <c r="W35" i="17" l="1"/>
  <c r="H42" i="8"/>
  <c r="K42" i="8" s="1"/>
  <c r="H41" i="8"/>
  <c r="K41" i="8" s="1"/>
  <c r="H39" i="8"/>
  <c r="K39" i="8" s="1"/>
  <c r="H38" i="8"/>
  <c r="K38" i="8" s="1"/>
  <c r="H36" i="8"/>
  <c r="K36" i="8" s="1"/>
  <c r="H35" i="8"/>
  <c r="K35" i="8" s="1"/>
  <c r="H32" i="8"/>
  <c r="K32" i="8" s="1"/>
  <c r="H30" i="8"/>
  <c r="K30" i="8" s="1"/>
  <c r="H29" i="8"/>
  <c r="K29" i="8" s="1"/>
  <c r="H28" i="8"/>
  <c r="K28" i="8" s="1"/>
  <c r="H27" i="8"/>
  <c r="K27" i="8" s="1"/>
  <c r="H26" i="8"/>
  <c r="K26" i="8" s="1"/>
  <c r="H25" i="8"/>
  <c r="K25" i="8" s="1"/>
  <c r="H21" i="8"/>
  <c r="K21" i="8" s="1"/>
  <c r="H19" i="8"/>
  <c r="K19" i="8" s="1"/>
  <c r="H18" i="8"/>
  <c r="K18" i="8" s="1"/>
  <c r="H15" i="8"/>
  <c r="K15" i="8" s="1"/>
  <c r="F42" i="8"/>
  <c r="F41" i="8"/>
  <c r="F39" i="8"/>
  <c r="F38" i="8"/>
  <c r="F36" i="8"/>
  <c r="F35" i="8"/>
  <c r="F32" i="8"/>
  <c r="F31" i="8"/>
  <c r="F30" i="8"/>
  <c r="F29" i="8"/>
  <c r="F28" i="8"/>
  <c r="F27" i="8"/>
  <c r="F26" i="8"/>
  <c r="F25" i="8"/>
  <c r="F24" i="8"/>
  <c r="F23" i="8"/>
  <c r="F21" i="8"/>
  <c r="F20" i="8"/>
  <c r="F19" i="8"/>
  <c r="F18" i="8"/>
  <c r="F17" i="8"/>
  <c r="F16" i="8"/>
  <c r="F15" i="8"/>
  <c r="F11" i="8"/>
  <c r="F10" i="8"/>
  <c r="F9" i="8"/>
  <c r="F8" i="8"/>
  <c r="F7" i="8"/>
  <c r="F6" i="8"/>
  <c r="I7" i="13"/>
  <c r="A48" i="13"/>
  <c r="A52" i="13"/>
  <c r="A54" i="11"/>
  <c r="A54" i="12" s="1"/>
  <c r="A53" i="11"/>
  <c r="A53" i="12" s="1"/>
  <c r="A50" i="11"/>
  <c r="A50" i="13" s="1"/>
  <c r="A48" i="11"/>
  <c r="A47" i="11"/>
  <c r="A47" i="13" s="1"/>
  <c r="A45" i="11"/>
  <c r="A45" i="13" s="1"/>
  <c r="A44" i="11"/>
  <c r="A44" i="13" s="1"/>
  <c r="A42" i="11"/>
  <c r="A42" i="13" s="1"/>
  <c r="A41" i="11"/>
  <c r="A41" i="13" s="1"/>
  <c r="A39" i="11"/>
  <c r="A39" i="13" s="1"/>
  <c r="A38" i="11"/>
  <c r="A38" i="13" s="1"/>
  <c r="A27" i="11"/>
  <c r="A27" i="13" s="1"/>
  <c r="A26" i="11"/>
  <c r="A26" i="13" s="1"/>
  <c r="A9" i="11"/>
  <c r="A9" i="13" s="1"/>
  <c r="A19" i="11"/>
  <c r="A19" i="13" s="1"/>
  <c r="A18" i="11"/>
  <c r="A18" i="13" s="1"/>
  <c r="A16" i="11"/>
  <c r="A16" i="13" s="1"/>
  <c r="F7" i="11"/>
  <c r="E7" i="11"/>
  <c r="D7" i="11"/>
  <c r="C7" i="11"/>
  <c r="B7" i="11"/>
  <c r="B7" i="13" s="1"/>
  <c r="A7" i="11"/>
  <c r="A7" i="13" s="1"/>
  <c r="A54" i="13" l="1"/>
  <c r="A53" i="13"/>
  <c r="C46" i="7" l="1"/>
  <c r="L34" i="17" l="1"/>
  <c r="L33" i="17"/>
  <c r="L32" i="17"/>
  <c r="L31" i="17"/>
  <c r="L30" i="17"/>
  <c r="L29" i="17"/>
  <c r="L28" i="17"/>
  <c r="G36" i="10" s="1"/>
  <c r="L27" i="17"/>
  <c r="L26" i="17"/>
  <c r="L25" i="17"/>
  <c r="L24" i="17"/>
  <c r="L23" i="17"/>
  <c r="L22" i="17"/>
  <c r="L21" i="17"/>
  <c r="L20" i="17"/>
  <c r="L19" i="17"/>
  <c r="L18" i="17"/>
  <c r="L17" i="17"/>
  <c r="L16" i="17"/>
  <c r="L15" i="17"/>
  <c r="L14" i="17"/>
  <c r="L13" i="17"/>
  <c r="L12" i="17"/>
  <c r="L11" i="17"/>
  <c r="L10" i="17"/>
  <c r="L9" i="17"/>
  <c r="L8" i="17"/>
  <c r="L7" i="17"/>
  <c r="L6" i="17"/>
  <c r="L5" i="17"/>
  <c r="G32" i="17" l="1"/>
  <c r="G30" i="17"/>
  <c r="G28" i="17"/>
  <c r="G27" i="17"/>
  <c r="G26" i="17"/>
  <c r="G24" i="17"/>
  <c r="G20" i="17"/>
  <c r="G19" i="17"/>
  <c r="G18" i="17"/>
  <c r="G16" i="17"/>
  <c r="G14" i="17"/>
  <c r="G12" i="17"/>
  <c r="G11" i="17"/>
  <c r="G10" i="17"/>
  <c r="G8" i="17"/>
  <c r="G6" i="17"/>
  <c r="G5" i="17"/>
  <c r="G7" i="17"/>
  <c r="G9" i="17"/>
  <c r="G13" i="17"/>
  <c r="G15" i="17"/>
  <c r="G17" i="17"/>
  <c r="G21" i="17"/>
  <c r="G22" i="17"/>
  <c r="G23" i="17"/>
  <c r="G25" i="17"/>
  <c r="G29" i="17"/>
  <c r="G31" i="17"/>
  <c r="G33" i="17"/>
  <c r="G34" i="17"/>
  <c r="B34" i="10" l="1"/>
  <c r="B33" i="10"/>
  <c r="B32" i="10"/>
  <c r="C36" i="2"/>
  <c r="C35" i="2"/>
  <c r="C34" i="2"/>
  <c r="D29" i="8"/>
  <c r="B31" i="8"/>
  <c r="B30" i="8"/>
  <c r="B29" i="8"/>
  <c r="B35" i="15"/>
  <c r="B34" i="15"/>
  <c r="B33" i="15"/>
  <c r="B35" i="12"/>
  <c r="B34" i="12"/>
  <c r="B33" i="12"/>
  <c r="B35" i="13"/>
  <c r="B34" i="13"/>
  <c r="B33" i="13"/>
  <c r="B36" i="11"/>
  <c r="B35" i="11"/>
  <c r="B34" i="11"/>
  <c r="B33" i="11"/>
  <c r="F24" i="17"/>
  <c r="H24" i="17"/>
  <c r="I24" i="17" s="1"/>
  <c r="J24" i="17" s="1"/>
  <c r="M24" i="17"/>
  <c r="N24" i="17"/>
  <c r="P24" i="17"/>
  <c r="C33" i="15" l="1"/>
  <c r="E33" i="15"/>
  <c r="D33" i="13"/>
  <c r="F33" i="13"/>
  <c r="E33" i="13"/>
  <c r="F33" i="12"/>
  <c r="F33" i="11"/>
  <c r="C32" i="10"/>
  <c r="D33" i="15"/>
  <c r="G29" i="8"/>
  <c r="I29" i="8" s="1"/>
  <c r="G34" i="2"/>
  <c r="O24" i="17"/>
  <c r="J29" i="8"/>
  <c r="G33" i="13" l="1"/>
  <c r="I33" i="12"/>
  <c r="H32" i="10"/>
  <c r="B6" i="2" l="1"/>
  <c r="B5" i="2"/>
  <c r="B4" i="2"/>
  <c r="A5" i="15"/>
  <c r="A4" i="15"/>
  <c r="A3" i="15"/>
  <c r="A5" i="12"/>
  <c r="A4" i="12"/>
  <c r="A3" i="12"/>
  <c r="A5" i="13"/>
  <c r="A4" i="13"/>
  <c r="A3" i="13"/>
  <c r="A5" i="11"/>
  <c r="A4" i="11"/>
  <c r="A3" i="11"/>
  <c r="F7" i="12"/>
  <c r="E7" i="12"/>
  <c r="D7" i="12"/>
  <c r="C7" i="12"/>
  <c r="D7" i="13"/>
  <c r="C7" i="13"/>
  <c r="A5" i="10"/>
  <c r="A4" i="10"/>
  <c r="A3" i="10"/>
  <c r="C44" i="7" l="1"/>
  <c r="C43" i="7"/>
  <c r="C42" i="7"/>
  <c r="C9" i="7" l="1"/>
  <c r="C8" i="7"/>
  <c r="C10" i="7" s="1"/>
  <c r="C7" i="7"/>
  <c r="C6" i="7"/>
  <c r="B6" i="7"/>
  <c r="B9" i="1" l="1"/>
  <c r="E36" i="3" l="1"/>
  <c r="H40" i="8" l="1"/>
  <c r="H37" i="8"/>
  <c r="H43" i="8"/>
  <c r="P6" i="17"/>
  <c r="P7" i="17"/>
  <c r="P8" i="17"/>
  <c r="P9" i="17"/>
  <c r="P10" i="17"/>
  <c r="P11" i="17"/>
  <c r="P12" i="17"/>
  <c r="P13" i="17"/>
  <c r="P14" i="17"/>
  <c r="P15" i="17"/>
  <c r="P16" i="17"/>
  <c r="P17" i="17"/>
  <c r="P18" i="17"/>
  <c r="P19" i="17"/>
  <c r="P20" i="17"/>
  <c r="P21" i="17"/>
  <c r="P22" i="17"/>
  <c r="P23" i="17"/>
  <c r="P25" i="17"/>
  <c r="P26" i="17"/>
  <c r="P27" i="17"/>
  <c r="P28" i="17"/>
  <c r="C37" i="15" s="1"/>
  <c r="P29" i="17"/>
  <c r="P30" i="17"/>
  <c r="P31" i="17"/>
  <c r="P32" i="17"/>
  <c r="P33" i="17"/>
  <c r="P34" i="17"/>
  <c r="N5" i="17"/>
  <c r="N6" i="17"/>
  <c r="N7" i="17"/>
  <c r="N8" i="17"/>
  <c r="N9" i="17"/>
  <c r="N10" i="17"/>
  <c r="N11" i="17"/>
  <c r="N12" i="17"/>
  <c r="N13" i="17"/>
  <c r="N15" i="17"/>
  <c r="N16" i="17"/>
  <c r="N17" i="17"/>
  <c r="N18" i="17"/>
  <c r="N19" i="17"/>
  <c r="N20" i="17"/>
  <c r="N21" i="17"/>
  <c r="N22" i="17"/>
  <c r="N23" i="17"/>
  <c r="N25" i="17"/>
  <c r="N26" i="17"/>
  <c r="N27" i="17"/>
  <c r="N28" i="17"/>
  <c r="N29" i="17"/>
  <c r="N30" i="17"/>
  <c r="N31" i="17"/>
  <c r="N32" i="17"/>
  <c r="N33" i="17"/>
  <c r="N34" i="17"/>
  <c r="M5" i="17"/>
  <c r="M6" i="17"/>
  <c r="M7" i="17"/>
  <c r="M8" i="17"/>
  <c r="M9" i="17"/>
  <c r="M10" i="17"/>
  <c r="M11" i="17"/>
  <c r="M12" i="17"/>
  <c r="M13" i="17"/>
  <c r="M15" i="17"/>
  <c r="M16" i="17"/>
  <c r="M17" i="17"/>
  <c r="M18" i="17"/>
  <c r="M19" i="17"/>
  <c r="M20" i="17"/>
  <c r="M21" i="17"/>
  <c r="M22" i="17"/>
  <c r="M23" i="17"/>
  <c r="M25" i="17"/>
  <c r="M26" i="17"/>
  <c r="M27" i="17"/>
  <c r="M28" i="17"/>
  <c r="M29" i="17"/>
  <c r="M30" i="17"/>
  <c r="M31" i="17"/>
  <c r="M32" i="17"/>
  <c r="M33" i="17"/>
  <c r="M34" i="17"/>
  <c r="E37" i="13" l="1"/>
  <c r="F37" i="13"/>
  <c r="O30" i="17"/>
  <c r="O32" i="17"/>
  <c r="O13" i="17"/>
  <c r="O15" i="17"/>
  <c r="O12" i="17"/>
  <c r="O26" i="17"/>
  <c r="O17" i="17"/>
  <c r="O9" i="17"/>
  <c r="O20" i="17"/>
  <c r="O29" i="17"/>
  <c r="H36" i="10" s="1"/>
  <c r="O34" i="17"/>
  <c r="O23" i="17"/>
  <c r="O22" i="17"/>
  <c r="O10" i="17"/>
  <c r="O6" i="17"/>
  <c r="O31" i="17"/>
  <c r="O28" i="17"/>
  <c r="I37" i="12" s="1"/>
  <c r="O19" i="17"/>
  <c r="O11" i="17"/>
  <c r="O25" i="17"/>
  <c r="O8" i="17"/>
  <c r="O21" i="17"/>
  <c r="O5" i="17"/>
  <c r="O33" i="17"/>
  <c r="O16" i="17"/>
  <c r="O18" i="17"/>
  <c r="O7" i="17"/>
  <c r="O27" i="17"/>
  <c r="G37" i="13" l="1"/>
  <c r="N14" i="17"/>
  <c r="M14" i="17"/>
  <c r="O14" i="17" l="1"/>
  <c r="C4" i="2" l="1"/>
  <c r="B3" i="15"/>
  <c r="C14" i="1" l="1"/>
  <c r="C17" i="7" l="1"/>
  <c r="B3" i="12"/>
  <c r="B3" i="13"/>
  <c r="B3" i="11"/>
  <c r="H12" i="17" l="1"/>
  <c r="I12" i="17" s="1"/>
  <c r="J12" i="17" s="1"/>
  <c r="H8" i="17"/>
  <c r="I8" i="17" s="1"/>
  <c r="J8" i="17" s="1"/>
  <c r="H13" i="17"/>
  <c r="I13" i="17" s="1"/>
  <c r="J13" i="17" s="1"/>
  <c r="H21" i="17"/>
  <c r="I21" i="17" s="1"/>
  <c r="J21" i="17" s="1"/>
  <c r="H30" i="17"/>
  <c r="I30" i="17" s="1"/>
  <c r="J30" i="17" s="1"/>
  <c r="H31" i="17"/>
  <c r="I31" i="17" s="1"/>
  <c r="J31" i="17" s="1"/>
  <c r="H15" i="17"/>
  <c r="I15" i="17" s="1"/>
  <c r="J15" i="17" s="1"/>
  <c r="H32" i="17"/>
  <c r="I32" i="17" s="1"/>
  <c r="J32" i="17" s="1"/>
  <c r="H16" i="17"/>
  <c r="I16" i="17" s="1"/>
  <c r="J16" i="17" s="1"/>
  <c r="H33" i="17"/>
  <c r="I33" i="17" s="1"/>
  <c r="J33" i="17" s="1"/>
  <c r="H17" i="17"/>
  <c r="I17" i="17" s="1"/>
  <c r="J17" i="17" s="1"/>
  <c r="H34" i="17"/>
  <c r="I34" i="17" s="1"/>
  <c r="J34" i="17" s="1"/>
  <c r="H10" i="17"/>
  <c r="I10" i="17" s="1"/>
  <c r="J10" i="17" s="1"/>
  <c r="H18" i="17"/>
  <c r="I18" i="17" s="1"/>
  <c r="J18" i="17" s="1"/>
  <c r="H27" i="17"/>
  <c r="I27" i="17" s="1"/>
  <c r="J27" i="17" s="1"/>
  <c r="H11" i="17"/>
  <c r="I11" i="17" s="1"/>
  <c r="J11" i="17" s="1"/>
  <c r="H19" i="17"/>
  <c r="I19" i="17" s="1"/>
  <c r="J19" i="17" s="1"/>
  <c r="H28" i="17"/>
  <c r="H20" i="17"/>
  <c r="I20" i="17" s="1"/>
  <c r="J20" i="17" s="1"/>
  <c r="H29" i="17"/>
  <c r="H6" i="17"/>
  <c r="I6" i="17" s="1"/>
  <c r="J6" i="17" s="1"/>
  <c r="H14" i="17"/>
  <c r="I14" i="17" s="1"/>
  <c r="J14" i="17" s="1"/>
  <c r="H22" i="17"/>
  <c r="I22" i="17" s="1"/>
  <c r="J22" i="17" s="1"/>
  <c r="H7" i="17"/>
  <c r="I7" i="17" s="1"/>
  <c r="J7" i="17" s="1"/>
  <c r="H23" i="17"/>
  <c r="I23" i="17" s="1"/>
  <c r="J23" i="17" s="1"/>
  <c r="H25" i="17"/>
  <c r="I25" i="17" s="1"/>
  <c r="J25" i="17" s="1"/>
  <c r="H9" i="17"/>
  <c r="I9" i="17" s="1"/>
  <c r="J9" i="17" s="1"/>
  <c r="H26" i="17"/>
  <c r="I26" i="17" s="1"/>
  <c r="J26" i="17" s="1"/>
  <c r="F8" i="17"/>
  <c r="F16" i="17"/>
  <c r="F25" i="17"/>
  <c r="F33" i="17"/>
  <c r="F9" i="17"/>
  <c r="F17" i="17"/>
  <c r="F26" i="17"/>
  <c r="F34" i="17"/>
  <c r="F12" i="17"/>
  <c r="F20" i="17"/>
  <c r="F29" i="17"/>
  <c r="F13" i="17"/>
  <c r="F30" i="17"/>
  <c r="F14" i="17"/>
  <c r="F31" i="17"/>
  <c r="F5" i="17"/>
  <c r="F21" i="17"/>
  <c r="F7" i="17"/>
  <c r="F15" i="17"/>
  <c r="F23" i="17"/>
  <c r="F32" i="17"/>
  <c r="F10" i="17"/>
  <c r="F18" i="17"/>
  <c r="F27" i="17"/>
  <c r="F11" i="17"/>
  <c r="F19" i="17"/>
  <c r="F28" i="17"/>
  <c r="E37" i="15" s="1"/>
  <c r="F6" i="17"/>
  <c r="F22" i="17"/>
  <c r="B3" i="10"/>
  <c r="B5" i="10"/>
  <c r="G38" i="2" l="1"/>
  <c r="F37" i="12"/>
  <c r="D37" i="15"/>
  <c r="G33" i="8"/>
  <c r="I33" i="8" s="1"/>
  <c r="I29" i="17"/>
  <c r="F37" i="11"/>
  <c r="D37" i="13"/>
  <c r="I28" i="17"/>
  <c r="C36" i="10"/>
  <c r="F35" i="17"/>
  <c r="H5" i="17"/>
  <c r="G35" i="17"/>
  <c r="C5" i="2"/>
  <c r="B4" i="15"/>
  <c r="B4" i="12"/>
  <c r="B4" i="13"/>
  <c r="B4" i="11"/>
  <c r="B4" i="10"/>
  <c r="D38" i="2" l="1"/>
  <c r="C37" i="12"/>
  <c r="G37" i="12" s="1"/>
  <c r="J28" i="17"/>
  <c r="D36" i="10"/>
  <c r="J29" i="17"/>
  <c r="C37" i="11"/>
  <c r="I5" i="17"/>
  <c r="J5" i="17" s="1"/>
  <c r="H35" i="17"/>
  <c r="K9" i="2"/>
  <c r="J9" i="2"/>
  <c r="I9" i="2"/>
  <c r="B31" i="10"/>
  <c r="B30" i="10"/>
  <c r="B29" i="10"/>
  <c r="B28" i="10"/>
  <c r="B27" i="10"/>
  <c r="B26" i="10"/>
  <c r="B24" i="10"/>
  <c r="B23" i="10"/>
  <c r="B22" i="10"/>
  <c r="B21" i="10"/>
  <c r="B20" i="10"/>
  <c r="B19" i="10"/>
  <c r="B18" i="10"/>
  <c r="B14" i="10"/>
  <c r="B13" i="10"/>
  <c r="B12" i="10"/>
  <c r="B11" i="10"/>
  <c r="B10" i="10"/>
  <c r="B9" i="10"/>
  <c r="C33" i="2"/>
  <c r="C32" i="2"/>
  <c r="C31" i="2"/>
  <c r="C30" i="2"/>
  <c r="C29" i="2"/>
  <c r="C28" i="2"/>
  <c r="C26" i="2"/>
  <c r="C25" i="2"/>
  <c r="C24" i="2"/>
  <c r="C23" i="2"/>
  <c r="C22" i="2"/>
  <c r="C21" i="2"/>
  <c r="C20" i="2"/>
  <c r="C16" i="2"/>
  <c r="C15" i="2"/>
  <c r="C14" i="2"/>
  <c r="C13" i="2"/>
  <c r="C12" i="2"/>
  <c r="C11" i="2"/>
  <c r="G42" i="8"/>
  <c r="G41" i="8"/>
  <c r="G39" i="8"/>
  <c r="G38" i="8"/>
  <c r="G36" i="8"/>
  <c r="G35" i="8"/>
  <c r="G32" i="8"/>
  <c r="G31" i="8"/>
  <c r="H31" i="8" s="1"/>
  <c r="G30" i="8"/>
  <c r="B28" i="8"/>
  <c r="G28" i="8" s="1"/>
  <c r="B27" i="8"/>
  <c r="G27" i="8" s="1"/>
  <c r="B26" i="8"/>
  <c r="G26" i="8" s="1"/>
  <c r="B25" i="8"/>
  <c r="G25" i="8" s="1"/>
  <c r="B24" i="8"/>
  <c r="G24" i="8" s="1"/>
  <c r="H24" i="8" s="1"/>
  <c r="K24" i="8" s="1"/>
  <c r="B23" i="8"/>
  <c r="G23" i="8" s="1"/>
  <c r="B21" i="8"/>
  <c r="G21" i="8" s="1"/>
  <c r="B20" i="8"/>
  <c r="G20" i="8" s="1"/>
  <c r="H20" i="8" s="1"/>
  <c r="K20" i="8" s="1"/>
  <c r="B19" i="8"/>
  <c r="G19" i="8" s="1"/>
  <c r="B18" i="8"/>
  <c r="G18" i="8" s="1"/>
  <c r="B17" i="8"/>
  <c r="G17" i="8" s="1"/>
  <c r="H17" i="8" s="1"/>
  <c r="K17" i="8" s="1"/>
  <c r="B16" i="8"/>
  <c r="G16" i="8" s="1"/>
  <c r="H16" i="8" s="1"/>
  <c r="K16" i="8" s="1"/>
  <c r="B15" i="8"/>
  <c r="G15" i="8" s="1"/>
  <c r="B11" i="8"/>
  <c r="G11" i="8" s="1"/>
  <c r="B10" i="8"/>
  <c r="G10" i="8" s="1"/>
  <c r="B9" i="8"/>
  <c r="G9" i="8" s="1"/>
  <c r="B8" i="8"/>
  <c r="G8" i="8" s="1"/>
  <c r="B7" i="8"/>
  <c r="G7" i="8" s="1"/>
  <c r="B6" i="8"/>
  <c r="B32" i="15"/>
  <c r="B31" i="15"/>
  <c r="B30" i="15"/>
  <c r="B29" i="15"/>
  <c r="B28" i="15"/>
  <c r="B27" i="15"/>
  <c r="B25" i="15"/>
  <c r="B24" i="15"/>
  <c r="B23" i="15"/>
  <c r="B22" i="15"/>
  <c r="B21" i="15"/>
  <c r="B20" i="15"/>
  <c r="B19" i="15"/>
  <c r="B15" i="15"/>
  <c r="B14" i="15"/>
  <c r="B13" i="15"/>
  <c r="B12" i="15"/>
  <c r="B11" i="15"/>
  <c r="B10" i="15"/>
  <c r="B32" i="12"/>
  <c r="B31" i="12"/>
  <c r="B30" i="12"/>
  <c r="B29" i="12"/>
  <c r="B28" i="12"/>
  <c r="B27" i="12"/>
  <c r="B25" i="12"/>
  <c r="B24" i="12"/>
  <c r="B23" i="12"/>
  <c r="B22" i="12"/>
  <c r="B21" i="12"/>
  <c r="B20" i="12"/>
  <c r="B19" i="12"/>
  <c r="B15" i="12"/>
  <c r="B14" i="12"/>
  <c r="B13" i="12"/>
  <c r="B12" i="12"/>
  <c r="B11" i="12"/>
  <c r="B10" i="12"/>
  <c r="I10" i="12" s="1"/>
  <c r="E36" i="10" l="1"/>
  <c r="E38" i="2"/>
  <c r="F38" i="2" s="1"/>
  <c r="D37" i="12"/>
  <c r="E37" i="12" s="1"/>
  <c r="H37" i="12"/>
  <c r="J37" i="12" s="1"/>
  <c r="F36" i="10"/>
  <c r="C37" i="13"/>
  <c r="H37" i="13" s="1"/>
  <c r="D37" i="11"/>
  <c r="E37" i="11" s="1"/>
  <c r="V24" i="17"/>
  <c r="H7" i="8"/>
  <c r="H11" i="8"/>
  <c r="H23" i="8"/>
  <c r="H10" i="8"/>
  <c r="H8" i="8"/>
  <c r="H9" i="8"/>
  <c r="H9" i="10"/>
  <c r="Q5" i="17"/>
  <c r="Q17" i="17"/>
  <c r="Q31" i="17"/>
  <c r="Q9" i="17"/>
  <c r="Q16" i="17"/>
  <c r="Q20" i="17"/>
  <c r="Q26" i="17"/>
  <c r="Q30" i="17"/>
  <c r="Q13" i="17"/>
  <c r="Q22" i="17"/>
  <c r="Q27" i="17"/>
  <c r="Q6" i="17"/>
  <c r="Q14" i="17"/>
  <c r="Q18" i="17"/>
  <c r="Q23" i="17"/>
  <c r="Q28" i="17"/>
  <c r="Q33" i="17"/>
  <c r="Q8" i="17"/>
  <c r="Q15" i="17"/>
  <c r="Q19" i="17"/>
  <c r="Q24" i="17"/>
  <c r="Q29" i="17"/>
  <c r="Q12" i="17"/>
  <c r="Q21" i="17"/>
  <c r="Q10" i="17"/>
  <c r="Q7" i="17"/>
  <c r="Q34" i="17"/>
  <c r="Q11" i="17"/>
  <c r="Q32" i="17"/>
  <c r="Q25" i="17"/>
  <c r="G37" i="8"/>
  <c r="G43" i="8"/>
  <c r="G34" i="8"/>
  <c r="G22" i="8"/>
  <c r="G40" i="8"/>
  <c r="I46" i="12"/>
  <c r="F46" i="12"/>
  <c r="H39" i="10"/>
  <c r="C39" i="10"/>
  <c r="I15" i="12"/>
  <c r="F15" i="12"/>
  <c r="H10" i="10"/>
  <c r="C10" i="10"/>
  <c r="H21" i="10"/>
  <c r="C21" i="10"/>
  <c r="H30" i="10"/>
  <c r="C30" i="10"/>
  <c r="H41" i="10"/>
  <c r="C41" i="10"/>
  <c r="I19" i="12"/>
  <c r="F19" i="12"/>
  <c r="I28" i="12"/>
  <c r="F28" i="12"/>
  <c r="I36" i="12"/>
  <c r="F36" i="12"/>
  <c r="C11" i="15"/>
  <c r="E11" i="15"/>
  <c r="D11" i="15"/>
  <c r="C22" i="15"/>
  <c r="E22" i="15"/>
  <c r="D22" i="15"/>
  <c r="C31" i="15"/>
  <c r="E31" i="15"/>
  <c r="D31" i="15"/>
  <c r="C42" i="15"/>
  <c r="E42" i="15"/>
  <c r="D42" i="15"/>
  <c r="H11" i="10"/>
  <c r="C11" i="10"/>
  <c r="H22" i="10"/>
  <c r="C22" i="10"/>
  <c r="H31" i="10"/>
  <c r="C31" i="10"/>
  <c r="H42" i="10"/>
  <c r="C42" i="10"/>
  <c r="F10" i="12"/>
  <c r="I25" i="12"/>
  <c r="F25" i="12"/>
  <c r="C29" i="15"/>
  <c r="E29" i="15"/>
  <c r="D29" i="15"/>
  <c r="H20" i="10"/>
  <c r="C20" i="10"/>
  <c r="C40" i="15"/>
  <c r="D40" i="15"/>
  <c r="E40" i="15"/>
  <c r="I29" i="12"/>
  <c r="F29" i="12"/>
  <c r="C12" i="15"/>
  <c r="E12" i="15"/>
  <c r="D12" i="15"/>
  <c r="C43" i="15"/>
  <c r="E43" i="15"/>
  <c r="D43" i="15"/>
  <c r="H23" i="10"/>
  <c r="C23" i="10"/>
  <c r="I30" i="12"/>
  <c r="F30" i="12"/>
  <c r="C34" i="15"/>
  <c r="E34" i="15"/>
  <c r="D34" i="15"/>
  <c r="H34" i="10"/>
  <c r="C34" i="10"/>
  <c r="I31" i="12"/>
  <c r="F31" i="12"/>
  <c r="C25" i="15"/>
  <c r="E25" i="15"/>
  <c r="D25" i="15"/>
  <c r="H14" i="10"/>
  <c r="C14" i="10"/>
  <c r="H26" i="10"/>
  <c r="C26" i="10"/>
  <c r="I14" i="12"/>
  <c r="F14" i="12"/>
  <c r="C20" i="15"/>
  <c r="E20" i="15"/>
  <c r="D20" i="15"/>
  <c r="I27" i="12"/>
  <c r="F27" i="12"/>
  <c r="C30" i="15"/>
  <c r="D30" i="15"/>
  <c r="E30" i="15"/>
  <c r="I39" i="12"/>
  <c r="F39" i="12"/>
  <c r="C32" i="15"/>
  <c r="E32" i="15"/>
  <c r="D32" i="15"/>
  <c r="H33" i="10"/>
  <c r="C33" i="10"/>
  <c r="I21" i="12"/>
  <c r="F21" i="12"/>
  <c r="C13" i="15"/>
  <c r="E13" i="15"/>
  <c r="D13" i="15"/>
  <c r="H13" i="10"/>
  <c r="C13" i="10"/>
  <c r="H45" i="10"/>
  <c r="C45" i="10"/>
  <c r="I11" i="12"/>
  <c r="F11" i="12"/>
  <c r="I42" i="12"/>
  <c r="F42" i="12"/>
  <c r="C35" i="15"/>
  <c r="E35" i="15"/>
  <c r="D35" i="15"/>
  <c r="I12" i="12"/>
  <c r="F12" i="12"/>
  <c r="I23" i="12"/>
  <c r="F23" i="12"/>
  <c r="I32" i="12"/>
  <c r="F32" i="12"/>
  <c r="I43" i="12"/>
  <c r="F43" i="12"/>
  <c r="C15" i="15"/>
  <c r="E15" i="15"/>
  <c r="D15" i="15"/>
  <c r="C27" i="15"/>
  <c r="D27" i="15"/>
  <c r="E27" i="15"/>
  <c r="H18" i="10"/>
  <c r="C18" i="10"/>
  <c r="H27" i="10"/>
  <c r="C27" i="10"/>
  <c r="H35" i="10"/>
  <c r="C35" i="10"/>
  <c r="C9" i="10"/>
  <c r="I35" i="12"/>
  <c r="F35" i="12"/>
  <c r="C39" i="15"/>
  <c r="D39" i="15"/>
  <c r="E39" i="15"/>
  <c r="H29" i="10"/>
  <c r="C29" i="10"/>
  <c r="E10" i="15"/>
  <c r="C21" i="15"/>
  <c r="D21" i="15"/>
  <c r="E21" i="15"/>
  <c r="I20" i="12"/>
  <c r="F20" i="12"/>
  <c r="C23" i="15"/>
  <c r="E23" i="15"/>
  <c r="D23" i="15"/>
  <c r="H12" i="10"/>
  <c r="C12" i="10"/>
  <c r="H44" i="10"/>
  <c r="C44" i="10"/>
  <c r="I40" i="12"/>
  <c r="F40" i="12"/>
  <c r="C24" i="15"/>
  <c r="E24" i="15"/>
  <c r="D24" i="15"/>
  <c r="C45" i="15"/>
  <c r="E45" i="15"/>
  <c r="D45" i="15"/>
  <c r="H24" i="10"/>
  <c r="C24" i="10"/>
  <c r="I22" i="12"/>
  <c r="F22" i="12"/>
  <c r="C14" i="15"/>
  <c r="D14" i="15"/>
  <c r="E14" i="15"/>
  <c r="C46" i="15"/>
  <c r="E46" i="15"/>
  <c r="D46" i="15"/>
  <c r="I13" i="12"/>
  <c r="F13" i="12"/>
  <c r="I24" i="12"/>
  <c r="F24" i="12"/>
  <c r="I34" i="12"/>
  <c r="F34" i="12"/>
  <c r="I45" i="12"/>
  <c r="F45" i="12"/>
  <c r="C19" i="15"/>
  <c r="D19" i="15"/>
  <c r="E19" i="15"/>
  <c r="C28" i="15"/>
  <c r="E28" i="15"/>
  <c r="D28" i="15"/>
  <c r="C36" i="15"/>
  <c r="D36" i="15"/>
  <c r="E36" i="15"/>
  <c r="H19" i="10"/>
  <c r="C19" i="10"/>
  <c r="H28" i="10"/>
  <c r="C28" i="10"/>
  <c r="H38" i="10"/>
  <c r="C38" i="10"/>
  <c r="D10" i="15"/>
  <c r="G6" i="8"/>
  <c r="H6" i="8" s="1"/>
  <c r="G14" i="2"/>
  <c r="G25" i="2"/>
  <c r="G35" i="2"/>
  <c r="G46" i="2"/>
  <c r="G26" i="2"/>
  <c r="G47" i="2"/>
  <c r="G16" i="2"/>
  <c r="G37" i="2"/>
  <c r="G20" i="2"/>
  <c r="G21" i="2"/>
  <c r="G30" i="2"/>
  <c r="G40" i="2"/>
  <c r="G11" i="2"/>
  <c r="G22" i="2"/>
  <c r="G31" i="2"/>
  <c r="G41" i="2"/>
  <c r="G15" i="2"/>
  <c r="G36" i="2"/>
  <c r="G28" i="2"/>
  <c r="G29" i="2"/>
  <c r="G12" i="2"/>
  <c r="G23" i="2"/>
  <c r="G32" i="2"/>
  <c r="G43" i="2"/>
  <c r="G13" i="2"/>
  <c r="G24" i="2"/>
  <c r="G33" i="2"/>
  <c r="G44" i="2"/>
  <c r="D36" i="3"/>
  <c r="E38" i="15" l="1"/>
  <c r="C38" i="15"/>
  <c r="D38" i="15"/>
  <c r="G39" i="2"/>
  <c r="E10" i="10"/>
  <c r="E23" i="10"/>
  <c r="F44" i="12"/>
  <c r="G42" i="2"/>
  <c r="D47" i="15"/>
  <c r="G44" i="8"/>
  <c r="G48" i="2"/>
  <c r="E47" i="15"/>
  <c r="C47" i="15"/>
  <c r="C41" i="15"/>
  <c r="F41" i="12"/>
  <c r="C25" i="10"/>
  <c r="C46" i="10"/>
  <c r="E41" i="15"/>
  <c r="C37" i="10"/>
  <c r="E44" i="15"/>
  <c r="D41" i="15"/>
  <c r="C44" i="15"/>
  <c r="C43" i="10"/>
  <c r="D26" i="15"/>
  <c r="E16" i="15"/>
  <c r="D16" i="15"/>
  <c r="F47" i="12"/>
  <c r="F16" i="12"/>
  <c r="E26" i="15"/>
  <c r="G45" i="2"/>
  <c r="G27" i="2"/>
  <c r="G12" i="8"/>
  <c r="C26" i="15"/>
  <c r="C15" i="10"/>
  <c r="G17" i="2"/>
  <c r="C40" i="10"/>
  <c r="F38" i="12"/>
  <c r="D44" i="15"/>
  <c r="F26" i="12"/>
  <c r="D23" i="10"/>
  <c r="D10" i="10"/>
  <c r="D11" i="10"/>
  <c r="D33" i="12"/>
  <c r="E32" i="10"/>
  <c r="D33" i="11"/>
  <c r="C33" i="13"/>
  <c r="E34" i="2"/>
  <c r="D32" i="10"/>
  <c r="K24" i="17"/>
  <c r="C33" i="12"/>
  <c r="D34" i="2"/>
  <c r="C33" i="11"/>
  <c r="D35" i="10"/>
  <c r="E35" i="10"/>
  <c r="D38" i="10"/>
  <c r="E38" i="10"/>
  <c r="E12" i="2"/>
  <c r="E40" i="2"/>
  <c r="D12" i="2"/>
  <c r="E25" i="2"/>
  <c r="D40" i="2"/>
  <c r="D13" i="2"/>
  <c r="D25" i="2"/>
  <c r="C11" i="12"/>
  <c r="D36" i="12"/>
  <c r="C39" i="12"/>
  <c r="D11" i="12"/>
  <c r="D39" i="12"/>
  <c r="C24" i="12"/>
  <c r="C36" i="12"/>
  <c r="C12" i="12"/>
  <c r="D24" i="12"/>
  <c r="K28" i="17"/>
  <c r="K27" i="17"/>
  <c r="K31" i="17"/>
  <c r="K16" i="17"/>
  <c r="K29" i="17"/>
  <c r="K6" i="17"/>
  <c r="B32" i="13"/>
  <c r="B31" i="13"/>
  <c r="B30" i="13"/>
  <c r="B29" i="13"/>
  <c r="B28" i="13"/>
  <c r="B27" i="13"/>
  <c r="B25" i="13"/>
  <c r="B24" i="13"/>
  <c r="B23" i="13"/>
  <c r="B22" i="13"/>
  <c r="B21" i="13"/>
  <c r="B20" i="13"/>
  <c r="B19" i="13"/>
  <c r="B15" i="13"/>
  <c r="B14" i="13"/>
  <c r="B13" i="13"/>
  <c r="B12" i="13"/>
  <c r="B11" i="13"/>
  <c r="C11" i="13" s="1"/>
  <c r="B10" i="13"/>
  <c r="F46" i="11"/>
  <c r="F45" i="11"/>
  <c r="F43" i="11"/>
  <c r="F42" i="11"/>
  <c r="F40" i="11"/>
  <c r="F39" i="11"/>
  <c r="F36" i="11"/>
  <c r="F35" i="11"/>
  <c r="F34" i="11"/>
  <c r="B32" i="11"/>
  <c r="F32" i="11" s="1"/>
  <c r="B31" i="11"/>
  <c r="F31" i="11" s="1"/>
  <c r="B30" i="11"/>
  <c r="F30" i="11" s="1"/>
  <c r="B29" i="11"/>
  <c r="F29" i="11" s="1"/>
  <c r="B28" i="11"/>
  <c r="F28" i="11" s="1"/>
  <c r="B27" i="11"/>
  <c r="F27" i="11" s="1"/>
  <c r="B25" i="11"/>
  <c r="F25" i="11" s="1"/>
  <c r="B24" i="11"/>
  <c r="F24" i="11" s="1"/>
  <c r="B23" i="11"/>
  <c r="F23" i="11" s="1"/>
  <c r="B22" i="11"/>
  <c r="F22" i="11" s="1"/>
  <c r="B21" i="11"/>
  <c r="F21" i="11" s="1"/>
  <c r="B20" i="11"/>
  <c r="F20" i="11" s="1"/>
  <c r="B19" i="11"/>
  <c r="F19" i="11" s="1"/>
  <c r="B15" i="11"/>
  <c r="F15" i="11" s="1"/>
  <c r="B14" i="11"/>
  <c r="F14" i="11" s="1"/>
  <c r="B13" i="11"/>
  <c r="F13" i="11" s="1"/>
  <c r="B12" i="11"/>
  <c r="F12" i="11" s="1"/>
  <c r="B11" i="11"/>
  <c r="F11" i="11" s="1"/>
  <c r="B10" i="11"/>
  <c r="F10" i="11" s="1"/>
  <c r="F32" i="10" l="1"/>
  <c r="F10" i="10"/>
  <c r="F38" i="10"/>
  <c r="F35" i="10"/>
  <c r="F23" i="10"/>
  <c r="F48" i="12"/>
  <c r="F50" i="12" s="1"/>
  <c r="F44" i="11"/>
  <c r="C48" i="15"/>
  <c r="G46" i="8"/>
  <c r="D48" i="15"/>
  <c r="D50" i="15" s="1"/>
  <c r="C47" i="10"/>
  <c r="C49" i="10" s="1"/>
  <c r="E48" i="15"/>
  <c r="E50" i="15" s="1"/>
  <c r="F47" i="11"/>
  <c r="G49" i="2"/>
  <c r="G51" i="2" s="1"/>
  <c r="F26" i="11"/>
  <c r="F41" i="11"/>
  <c r="F38" i="11"/>
  <c r="F16" i="11"/>
  <c r="E33" i="11"/>
  <c r="H33" i="13"/>
  <c r="F34" i="2"/>
  <c r="G32" i="10"/>
  <c r="E33" i="12"/>
  <c r="G33" i="12"/>
  <c r="H33" i="12" s="1"/>
  <c r="J33" i="12" s="1"/>
  <c r="G23" i="10"/>
  <c r="G10" i="10"/>
  <c r="G38" i="10"/>
  <c r="G35" i="10"/>
  <c r="C12" i="11"/>
  <c r="D11" i="11"/>
  <c r="E20" i="13"/>
  <c r="F20" i="13"/>
  <c r="D20" i="13"/>
  <c r="E29" i="13"/>
  <c r="F29" i="13"/>
  <c r="D29" i="13"/>
  <c r="F39" i="13"/>
  <c r="E39" i="13"/>
  <c r="D39" i="13"/>
  <c r="C39" i="13"/>
  <c r="E10" i="13"/>
  <c r="F10" i="13"/>
  <c r="D10" i="13"/>
  <c r="F21" i="13"/>
  <c r="E21" i="13"/>
  <c r="D21" i="13"/>
  <c r="E30" i="13"/>
  <c r="F30" i="13"/>
  <c r="D30" i="13"/>
  <c r="E40" i="13"/>
  <c r="F40" i="13"/>
  <c r="D40" i="13"/>
  <c r="F28" i="13"/>
  <c r="E28" i="13"/>
  <c r="D28" i="13"/>
  <c r="E22" i="13"/>
  <c r="F22" i="13"/>
  <c r="D22" i="13"/>
  <c r="F31" i="13"/>
  <c r="E31" i="13"/>
  <c r="D31" i="13"/>
  <c r="F42" i="13"/>
  <c r="E42" i="13"/>
  <c r="D42" i="13"/>
  <c r="F12" i="13"/>
  <c r="E12" i="13"/>
  <c r="D12" i="13"/>
  <c r="E32" i="13"/>
  <c r="F32" i="13"/>
  <c r="D32" i="13"/>
  <c r="F13" i="13"/>
  <c r="E13" i="13"/>
  <c r="D13" i="13"/>
  <c r="E24" i="13"/>
  <c r="F24" i="13"/>
  <c r="D24" i="13"/>
  <c r="E34" i="13"/>
  <c r="F34" i="13"/>
  <c r="D34" i="13"/>
  <c r="E45" i="13"/>
  <c r="F45" i="13"/>
  <c r="D45" i="13"/>
  <c r="C39" i="11"/>
  <c r="E11" i="13"/>
  <c r="F11" i="13"/>
  <c r="D11" i="13"/>
  <c r="E14" i="13"/>
  <c r="F14" i="13"/>
  <c r="D14" i="13"/>
  <c r="F25" i="13"/>
  <c r="E25" i="13"/>
  <c r="D25" i="13"/>
  <c r="F35" i="13"/>
  <c r="E35" i="13"/>
  <c r="D35" i="13"/>
  <c r="F46" i="13"/>
  <c r="E46" i="13"/>
  <c r="D46" i="13"/>
  <c r="C24" i="13"/>
  <c r="E19" i="13"/>
  <c r="F19" i="13"/>
  <c r="D19" i="13"/>
  <c r="C24" i="11"/>
  <c r="E23" i="13"/>
  <c r="F23" i="13"/>
  <c r="D23" i="13"/>
  <c r="E43" i="13"/>
  <c r="F43" i="13"/>
  <c r="D43" i="13"/>
  <c r="E15" i="13"/>
  <c r="F15" i="13"/>
  <c r="D15" i="13"/>
  <c r="F27" i="13"/>
  <c r="E27" i="13"/>
  <c r="D27" i="13"/>
  <c r="E36" i="13"/>
  <c r="F36" i="13"/>
  <c r="D36" i="13"/>
  <c r="D24" i="11"/>
  <c r="D39" i="11"/>
  <c r="C11" i="11"/>
  <c r="F40" i="2"/>
  <c r="F48" i="11" l="1"/>
  <c r="F50" i="11" s="1"/>
  <c r="D44" i="13"/>
  <c r="D41" i="13"/>
  <c r="D26" i="13"/>
  <c r="D38" i="13"/>
  <c r="D47" i="13"/>
  <c r="D16" i="13"/>
  <c r="C33" i="7"/>
  <c r="B5" i="15"/>
  <c r="D10" i="8"/>
  <c r="D48" i="13" l="1"/>
  <c r="D50" i="13" s="1"/>
  <c r="D14" i="10"/>
  <c r="D16" i="2"/>
  <c r="C15" i="12"/>
  <c r="C15" i="11"/>
  <c r="G14" i="13"/>
  <c r="I10" i="8"/>
  <c r="E14" i="10" l="1"/>
  <c r="F14" i="10" s="1"/>
  <c r="E16" i="2"/>
  <c r="C15" i="13"/>
  <c r="D15" i="12"/>
  <c r="D15" i="11"/>
  <c r="K10" i="17"/>
  <c r="K40" i="8"/>
  <c r="K43" i="8"/>
  <c r="K37" i="8"/>
  <c r="G14" i="10" l="1"/>
  <c r="G30" i="13" l="1"/>
  <c r="B5" i="13"/>
  <c r="B5" i="12"/>
  <c r="G8" i="11"/>
  <c r="B5" i="11"/>
  <c r="C12" i="1"/>
  <c r="C24" i="7"/>
  <c r="C28" i="7"/>
  <c r="C27" i="7"/>
  <c r="C6" i="2"/>
  <c r="C15" i="7"/>
  <c r="G45" i="13" l="1"/>
  <c r="C12" i="7"/>
  <c r="C13" i="7" s="1"/>
  <c r="C14" i="7" s="1"/>
  <c r="G35" i="13"/>
  <c r="G15" i="13"/>
  <c r="G28" i="13"/>
  <c r="G32" i="13"/>
  <c r="G12" i="13"/>
  <c r="G20" i="13"/>
  <c r="G22" i="13"/>
  <c r="G24" i="13"/>
  <c r="G42" i="13"/>
  <c r="G39" i="13"/>
  <c r="G27" i="13"/>
  <c r="G29" i="13"/>
  <c r="G31" i="13"/>
  <c r="G34" i="13"/>
  <c r="G36" i="13"/>
  <c r="G10" i="13"/>
  <c r="G13" i="13"/>
  <c r="G19" i="13"/>
  <c r="G21" i="13"/>
  <c r="G23" i="13"/>
  <c r="G25" i="13"/>
  <c r="G46" i="13"/>
  <c r="G43" i="13"/>
  <c r="G40" i="13"/>
  <c r="G11" i="13"/>
  <c r="C29" i="7"/>
  <c r="C16" i="7" l="1"/>
  <c r="C19" i="7" s="1"/>
  <c r="C23" i="7" s="1"/>
  <c r="C25" i="7" l="1"/>
  <c r="C30" i="7" s="1"/>
  <c r="C35" i="7"/>
  <c r="F45" i="15" l="1"/>
  <c r="G45" i="15" s="1"/>
  <c r="C34" i="7"/>
  <c r="C37" i="7"/>
  <c r="F37" i="15"/>
  <c r="G37" i="15" s="1"/>
  <c r="G12" i="12"/>
  <c r="D13" i="10" l="1"/>
  <c r="D15" i="2"/>
  <c r="D31" i="10"/>
  <c r="D33" i="2"/>
  <c r="D33" i="10"/>
  <c r="D35" i="2"/>
  <c r="E33" i="10"/>
  <c r="E35" i="2"/>
  <c r="D29" i="10"/>
  <c r="D31" i="2"/>
  <c r="E29" i="10"/>
  <c r="E31" i="2"/>
  <c r="E18" i="10"/>
  <c r="E20" i="2"/>
  <c r="E21" i="10"/>
  <c r="E23" i="2"/>
  <c r="D12" i="10"/>
  <c r="D14" i="2"/>
  <c r="D30" i="10"/>
  <c r="D32" i="2"/>
  <c r="E24" i="10"/>
  <c r="E26" i="2"/>
  <c r="E12" i="10"/>
  <c r="E14" i="2"/>
  <c r="D24" i="10"/>
  <c r="F24" i="10" s="1"/>
  <c r="D26" i="2"/>
  <c r="E30" i="10"/>
  <c r="E32" i="2"/>
  <c r="C14" i="12"/>
  <c r="C14" i="11"/>
  <c r="C34" i="11"/>
  <c r="C34" i="12"/>
  <c r="D22" i="12"/>
  <c r="D22" i="11"/>
  <c r="C22" i="13"/>
  <c r="C30" i="12"/>
  <c r="C30" i="11"/>
  <c r="C32" i="11"/>
  <c r="C32" i="12"/>
  <c r="C19" i="13"/>
  <c r="D19" i="12"/>
  <c r="D19" i="11"/>
  <c r="D30" i="12"/>
  <c r="D30" i="11"/>
  <c r="C30" i="13"/>
  <c r="C13" i="11"/>
  <c r="C13" i="12"/>
  <c r="C31" i="12"/>
  <c r="C31" i="11"/>
  <c r="D25" i="11"/>
  <c r="C25" i="13"/>
  <c r="D25" i="12"/>
  <c r="D34" i="11"/>
  <c r="C34" i="13"/>
  <c r="D34" i="12"/>
  <c r="D13" i="11"/>
  <c r="C13" i="13"/>
  <c r="D13" i="12"/>
  <c r="C25" i="11"/>
  <c r="C25" i="12"/>
  <c r="D31" i="12"/>
  <c r="D31" i="11"/>
  <c r="C31" i="13"/>
  <c r="K22" i="17"/>
  <c r="K21" i="17"/>
  <c r="K25" i="17"/>
  <c r="K8" i="17"/>
  <c r="K17" i="17"/>
  <c r="F12" i="10" l="1"/>
  <c r="F29" i="10"/>
  <c r="F33" i="10"/>
  <c r="F30" i="10"/>
  <c r="D11" i="2"/>
  <c r="G29" i="10"/>
  <c r="G24" i="10"/>
  <c r="G30" i="10"/>
  <c r="G33" i="10"/>
  <c r="G12" i="10"/>
  <c r="D18" i="10"/>
  <c r="F18" i="10" s="1"/>
  <c r="D20" i="2"/>
  <c r="E11" i="10"/>
  <c r="F11" i="10" s="1"/>
  <c r="E13" i="2"/>
  <c r="F13" i="2" s="1"/>
  <c r="E31" i="10"/>
  <c r="F31" i="10" s="1"/>
  <c r="E33" i="2"/>
  <c r="D19" i="10"/>
  <c r="D21" i="2"/>
  <c r="E9" i="10"/>
  <c r="E11" i="2"/>
  <c r="D20" i="10"/>
  <c r="D22" i="2"/>
  <c r="D9" i="10"/>
  <c r="D21" i="10"/>
  <c r="F21" i="10" s="1"/>
  <c r="D23" i="2"/>
  <c r="E19" i="10"/>
  <c r="E21" i="2"/>
  <c r="D22" i="10"/>
  <c r="D24" i="2"/>
  <c r="E20" i="10"/>
  <c r="E22" i="2"/>
  <c r="E22" i="10"/>
  <c r="E24" i="2"/>
  <c r="D21" i="12"/>
  <c r="D21" i="11"/>
  <c r="C21" i="13"/>
  <c r="H21" i="13" s="1"/>
  <c r="D23" i="12"/>
  <c r="D23" i="11"/>
  <c r="C23" i="13"/>
  <c r="H23" i="13" s="1"/>
  <c r="C21" i="12"/>
  <c r="G21" i="12" s="1"/>
  <c r="C21" i="11"/>
  <c r="C10" i="12"/>
  <c r="C10" i="11"/>
  <c r="C20" i="12"/>
  <c r="G20" i="12" s="1"/>
  <c r="C20" i="11"/>
  <c r="K11" i="17"/>
  <c r="C19" i="12"/>
  <c r="C19" i="11"/>
  <c r="C23" i="11"/>
  <c r="C23" i="12"/>
  <c r="D32" i="12"/>
  <c r="D32" i="11"/>
  <c r="C32" i="13"/>
  <c r="D10" i="12"/>
  <c r="D10" i="11"/>
  <c r="C10" i="13"/>
  <c r="D12" i="12"/>
  <c r="E12" i="12" s="1"/>
  <c r="D12" i="11"/>
  <c r="E12" i="11" s="1"/>
  <c r="C12" i="13"/>
  <c r="H12" i="13" s="1"/>
  <c r="K14" i="17"/>
  <c r="C22" i="12"/>
  <c r="C22" i="11"/>
  <c r="C20" i="13"/>
  <c r="H20" i="13" s="1"/>
  <c r="D20" i="12"/>
  <c r="D20" i="11"/>
  <c r="K15" i="17"/>
  <c r="H24" i="13"/>
  <c r="K7" i="17"/>
  <c r="K23" i="17"/>
  <c r="K13" i="17"/>
  <c r="K5" i="17"/>
  <c r="K12" i="17"/>
  <c r="G31" i="12"/>
  <c r="G32" i="12"/>
  <c r="G13" i="12"/>
  <c r="F14" i="2"/>
  <c r="G14" i="12"/>
  <c r="G15" i="12"/>
  <c r="H13" i="13"/>
  <c r="H31" i="13"/>
  <c r="H34" i="13"/>
  <c r="H22" i="13"/>
  <c r="H19" i="13"/>
  <c r="H25" i="13"/>
  <c r="H11" i="13"/>
  <c r="E36" i="12"/>
  <c r="G36" i="12"/>
  <c r="F9" i="10" l="1"/>
  <c r="F20" i="10"/>
  <c r="F19" i="10"/>
  <c r="F22" i="10"/>
  <c r="D26" i="11"/>
  <c r="D26" i="12"/>
  <c r="E27" i="2"/>
  <c r="H26" i="13"/>
  <c r="H10" i="13"/>
  <c r="E25" i="10"/>
  <c r="C26" i="13"/>
  <c r="C26" i="12"/>
  <c r="C16" i="12"/>
  <c r="D27" i="2"/>
  <c r="D17" i="2"/>
  <c r="D15" i="10"/>
  <c r="C26" i="11"/>
  <c r="D25" i="10"/>
  <c r="F25" i="10" s="1"/>
  <c r="C16" i="11"/>
  <c r="G19" i="10"/>
  <c r="G22" i="10"/>
  <c r="G18" i="10"/>
  <c r="G11" i="10"/>
  <c r="G21" i="10"/>
  <c r="G20" i="10"/>
  <c r="G9" i="10"/>
  <c r="G31" i="10"/>
  <c r="F21" i="2"/>
  <c r="F22" i="2"/>
  <c r="F24" i="2"/>
  <c r="K9" i="17"/>
  <c r="E13" i="10"/>
  <c r="E15" i="2"/>
  <c r="F15" i="2" s="1"/>
  <c r="E21" i="12"/>
  <c r="D14" i="11"/>
  <c r="E14" i="11" s="1"/>
  <c r="C14" i="13"/>
  <c r="H14" i="13" s="1"/>
  <c r="D14" i="12"/>
  <c r="E14" i="12" s="1"/>
  <c r="E25" i="12"/>
  <c r="F25" i="2"/>
  <c r="E13" i="12"/>
  <c r="E24" i="11"/>
  <c r="F16" i="2"/>
  <c r="G23" i="12"/>
  <c r="H23" i="12" s="1"/>
  <c r="G24" i="12"/>
  <c r="H24" i="12" s="1"/>
  <c r="E24" i="12"/>
  <c r="F26" i="2"/>
  <c r="H31" i="12"/>
  <c r="F32" i="2"/>
  <c r="F35" i="2"/>
  <c r="E34" i="12"/>
  <c r="E20" i="12"/>
  <c r="E31" i="12"/>
  <c r="G34" i="12"/>
  <c r="H34" i="12" s="1"/>
  <c r="F33" i="2"/>
  <c r="G25" i="12"/>
  <c r="H25" i="12" s="1"/>
  <c r="G22" i="12"/>
  <c r="H22" i="12" s="1"/>
  <c r="F23" i="2"/>
  <c r="G19" i="12"/>
  <c r="G10" i="12"/>
  <c r="E11" i="12"/>
  <c r="F12" i="2"/>
  <c r="H21" i="12"/>
  <c r="H32" i="13"/>
  <c r="E32" i="12"/>
  <c r="H13" i="12"/>
  <c r="H20" i="12"/>
  <c r="E31" i="11"/>
  <c r="H12" i="12"/>
  <c r="H15" i="13"/>
  <c r="E15" i="12"/>
  <c r="E25" i="11"/>
  <c r="E20" i="11"/>
  <c r="E32" i="11"/>
  <c r="E23" i="11"/>
  <c r="E21" i="11"/>
  <c r="E13" i="11"/>
  <c r="E15" i="11"/>
  <c r="E34" i="11"/>
  <c r="E22" i="11"/>
  <c r="E19" i="11"/>
  <c r="E10" i="11"/>
  <c r="E11" i="11"/>
  <c r="H36" i="12"/>
  <c r="E15" i="10" l="1"/>
  <c r="F15" i="10" s="1"/>
  <c r="F13" i="10"/>
  <c r="D16" i="11"/>
  <c r="D16" i="12"/>
  <c r="C16" i="13"/>
  <c r="E17" i="2"/>
  <c r="H16" i="13"/>
  <c r="E26" i="11"/>
  <c r="H10" i="12"/>
  <c r="H19" i="12"/>
  <c r="G26" i="12"/>
  <c r="E16" i="11"/>
  <c r="G15" i="11" s="1"/>
  <c r="G13" i="10"/>
  <c r="G25" i="10"/>
  <c r="E23" i="12"/>
  <c r="G11" i="12"/>
  <c r="H11" i="12" s="1"/>
  <c r="J11" i="12" s="1"/>
  <c r="E10" i="12"/>
  <c r="E22" i="12"/>
  <c r="F20" i="2"/>
  <c r="E19" i="12"/>
  <c r="F11" i="2"/>
  <c r="H32" i="12"/>
  <c r="H14" i="12"/>
  <c r="J14" i="12" s="1"/>
  <c r="H15" i="12"/>
  <c r="D6" i="8"/>
  <c r="D8" i="8"/>
  <c r="D9" i="8"/>
  <c r="D11" i="8"/>
  <c r="D15" i="8"/>
  <c r="D16" i="8"/>
  <c r="D17" i="8"/>
  <c r="D18" i="8"/>
  <c r="D19" i="8"/>
  <c r="D20" i="8"/>
  <c r="D21" i="8"/>
  <c r="D41" i="8"/>
  <c r="D42" i="8"/>
  <c r="D38" i="8"/>
  <c r="D39" i="8"/>
  <c r="D35" i="8"/>
  <c r="D36" i="8"/>
  <c r="D23" i="8"/>
  <c r="D24" i="8"/>
  <c r="D25" i="8"/>
  <c r="D26" i="8"/>
  <c r="D27" i="8"/>
  <c r="D28" i="8"/>
  <c r="D30" i="8"/>
  <c r="D31" i="8"/>
  <c r="D32" i="8"/>
  <c r="D7" i="8"/>
  <c r="G15" i="10" l="1"/>
  <c r="H12" i="8"/>
  <c r="H34" i="8"/>
  <c r="H22" i="8"/>
  <c r="G16" i="12"/>
  <c r="F27" i="2"/>
  <c r="E16" i="12"/>
  <c r="H16" i="12"/>
  <c r="E26" i="12"/>
  <c r="H26" i="12"/>
  <c r="F17" i="2"/>
  <c r="G12" i="11"/>
  <c r="G11" i="11"/>
  <c r="G13" i="11"/>
  <c r="G14" i="11"/>
  <c r="G10" i="11"/>
  <c r="C52" i="7"/>
  <c r="C51" i="7"/>
  <c r="H44" i="8" l="1"/>
  <c r="H46" i="8" s="1"/>
  <c r="G16" i="11"/>
  <c r="D52" i="7"/>
  <c r="E52" i="7" s="1"/>
  <c r="D51" i="7"/>
  <c r="C53" i="7"/>
  <c r="E51" i="7" l="1"/>
  <c r="F52" i="7"/>
  <c r="G52" i="7" s="1"/>
  <c r="F51" i="7"/>
  <c r="D53" i="7"/>
  <c r="G51" i="7" l="1"/>
  <c r="G53" i="7" s="1"/>
  <c r="E53" i="7"/>
  <c r="H52" i="7"/>
  <c r="F53" i="7"/>
  <c r="J54" i="13"/>
  <c r="L54" i="12"/>
  <c r="H54" i="11"/>
  <c r="H51" i="7" l="1"/>
  <c r="H53" i="7" s="1"/>
  <c r="L53" i="12"/>
  <c r="J53" i="13"/>
  <c r="H53" i="11"/>
  <c r="I30" i="8"/>
  <c r="I27" i="8"/>
  <c r="I26" i="8"/>
  <c r="I42" i="8"/>
  <c r="I41" i="8"/>
  <c r="I21" i="8"/>
  <c r="I19" i="8"/>
  <c r="I18" i="8"/>
  <c r="H11" i="11" l="1"/>
  <c r="R6" i="17" s="1"/>
  <c r="I43" i="8"/>
  <c r="H15" i="11"/>
  <c r="R10" i="17" s="1"/>
  <c r="E27" i="10"/>
  <c r="E29" i="2"/>
  <c r="D26" i="10"/>
  <c r="D28" i="2"/>
  <c r="D27" i="10"/>
  <c r="D29" i="2"/>
  <c r="E26" i="10"/>
  <c r="E28" i="2"/>
  <c r="C28" i="12"/>
  <c r="C28" i="11"/>
  <c r="C27" i="12"/>
  <c r="C27" i="11"/>
  <c r="C27" i="13"/>
  <c r="D27" i="11"/>
  <c r="D27" i="12"/>
  <c r="C28" i="13"/>
  <c r="D28" i="11"/>
  <c r="D28" i="12"/>
  <c r="K19" i="17"/>
  <c r="K18" i="17"/>
  <c r="I20" i="8"/>
  <c r="I17" i="8"/>
  <c r="I24" i="8"/>
  <c r="I11" i="8"/>
  <c r="I6" i="8"/>
  <c r="I9" i="8"/>
  <c r="I38" i="8"/>
  <c r="I35" i="8"/>
  <c r="I39" i="8"/>
  <c r="I36" i="8"/>
  <c r="F27" i="10" l="1"/>
  <c r="F26" i="10"/>
  <c r="D43" i="11"/>
  <c r="I40" i="8"/>
  <c r="I37" i="8"/>
  <c r="G26" i="10"/>
  <c r="G27" i="10"/>
  <c r="D43" i="12"/>
  <c r="E44" i="2"/>
  <c r="C43" i="13"/>
  <c r="H43" i="13" s="1"/>
  <c r="E42" i="10"/>
  <c r="E41" i="10"/>
  <c r="E43" i="2"/>
  <c r="D42" i="12"/>
  <c r="D42" i="11"/>
  <c r="C42" i="13"/>
  <c r="D41" i="10"/>
  <c r="D43" i="2"/>
  <c r="C42" i="12"/>
  <c r="C42" i="11"/>
  <c r="D37" i="2"/>
  <c r="C36" i="11"/>
  <c r="E37" i="2"/>
  <c r="C36" i="13"/>
  <c r="H36" i="13" s="1"/>
  <c r="D36" i="11"/>
  <c r="D34" i="10"/>
  <c r="D36" i="2"/>
  <c r="D42" i="10"/>
  <c r="D44" i="2"/>
  <c r="D28" i="10"/>
  <c r="D30" i="2"/>
  <c r="E28" i="10"/>
  <c r="E30" i="2"/>
  <c r="E39" i="10"/>
  <c r="E40" i="10" s="1"/>
  <c r="E41" i="2"/>
  <c r="E42" i="2" s="1"/>
  <c r="D39" i="10"/>
  <c r="D41" i="2"/>
  <c r="D42" i="2" s="1"/>
  <c r="E34" i="10"/>
  <c r="E36" i="2"/>
  <c r="C29" i="12"/>
  <c r="G29" i="12" s="1"/>
  <c r="C29" i="11"/>
  <c r="D35" i="11"/>
  <c r="C35" i="13"/>
  <c r="H35" i="13" s="1"/>
  <c r="D35" i="12"/>
  <c r="D40" i="12"/>
  <c r="D41" i="12" s="1"/>
  <c r="D40" i="11"/>
  <c r="D41" i="11" s="1"/>
  <c r="C40" i="13"/>
  <c r="K26" i="17"/>
  <c r="C35" i="11"/>
  <c r="C35" i="12"/>
  <c r="G35" i="12" s="1"/>
  <c r="C29" i="13"/>
  <c r="H29" i="13" s="1"/>
  <c r="D29" i="12"/>
  <c r="D29" i="11"/>
  <c r="C43" i="12"/>
  <c r="C43" i="11"/>
  <c r="C40" i="12"/>
  <c r="C40" i="11"/>
  <c r="C41" i="11" s="1"/>
  <c r="K30" i="17"/>
  <c r="K32" i="17"/>
  <c r="G30" i="12"/>
  <c r="K20" i="17"/>
  <c r="H30" i="13"/>
  <c r="G28" i="12"/>
  <c r="F29" i="2"/>
  <c r="G27" i="12"/>
  <c r="F28" i="2"/>
  <c r="H28" i="13"/>
  <c r="H27" i="13"/>
  <c r="I23" i="8"/>
  <c r="I16" i="8"/>
  <c r="I15" i="8"/>
  <c r="G39" i="12"/>
  <c r="E39" i="12"/>
  <c r="H39" i="13"/>
  <c r="E39" i="11"/>
  <c r="J21" i="12"/>
  <c r="J20" i="12"/>
  <c r="F42" i="10" l="1"/>
  <c r="F41" i="10"/>
  <c r="F28" i="10"/>
  <c r="F34" i="10"/>
  <c r="D40" i="10"/>
  <c r="F40" i="10" s="1"/>
  <c r="F39" i="10"/>
  <c r="E43" i="11"/>
  <c r="D44" i="11"/>
  <c r="D38" i="11"/>
  <c r="I22" i="8"/>
  <c r="E37" i="10"/>
  <c r="D38" i="12"/>
  <c r="D44" i="12"/>
  <c r="E39" i="2"/>
  <c r="E43" i="10"/>
  <c r="C38" i="11"/>
  <c r="D43" i="10"/>
  <c r="D37" i="10"/>
  <c r="D39" i="2"/>
  <c r="D45" i="2"/>
  <c r="H40" i="13"/>
  <c r="H41" i="13" s="1"/>
  <c r="C41" i="13"/>
  <c r="H42" i="13"/>
  <c r="H44" i="13" s="1"/>
  <c r="C44" i="13"/>
  <c r="H38" i="13"/>
  <c r="E45" i="2"/>
  <c r="C38" i="13"/>
  <c r="C38" i="12"/>
  <c r="C44" i="11"/>
  <c r="H39" i="12"/>
  <c r="G40" i="12"/>
  <c r="H40" i="12" s="1"/>
  <c r="C41" i="12"/>
  <c r="G42" i="12"/>
  <c r="H42" i="12" s="1"/>
  <c r="C44" i="12"/>
  <c r="G42" i="10"/>
  <c r="G28" i="10"/>
  <c r="F44" i="2"/>
  <c r="G34" i="10"/>
  <c r="G39" i="10"/>
  <c r="G41" i="10"/>
  <c r="F36" i="2"/>
  <c r="F30" i="2"/>
  <c r="F41" i="2"/>
  <c r="F42" i="2" s="1"/>
  <c r="E30" i="11"/>
  <c r="E42" i="12"/>
  <c r="E36" i="11"/>
  <c r="E42" i="11"/>
  <c r="E30" i="12"/>
  <c r="H30" i="12"/>
  <c r="F37" i="2"/>
  <c r="F43" i="2"/>
  <c r="F31" i="2"/>
  <c r="E40" i="11"/>
  <c r="E41" i="11" s="1"/>
  <c r="E43" i="12"/>
  <c r="E27" i="12"/>
  <c r="E29" i="12"/>
  <c r="E35" i="12"/>
  <c r="E28" i="12"/>
  <c r="H28" i="12"/>
  <c r="H27" i="12"/>
  <c r="H29" i="12"/>
  <c r="H35" i="12"/>
  <c r="E28" i="11"/>
  <c r="E29" i="11"/>
  <c r="E35" i="11"/>
  <c r="G43" i="12"/>
  <c r="H43" i="12" s="1"/>
  <c r="E40" i="12"/>
  <c r="E41" i="12" s="1"/>
  <c r="E27" i="11"/>
  <c r="F43" i="10" l="1"/>
  <c r="G40" i="10"/>
  <c r="F37" i="10"/>
  <c r="E44" i="11"/>
  <c r="G38" i="12"/>
  <c r="F39" i="2"/>
  <c r="H44" i="12"/>
  <c r="G41" i="12"/>
  <c r="E38" i="11"/>
  <c r="H41" i="12"/>
  <c r="F45" i="2"/>
  <c r="H38" i="12"/>
  <c r="E38" i="12"/>
  <c r="E44" i="12"/>
  <c r="G44" i="12"/>
  <c r="G43" i="10"/>
  <c r="C45" i="12" l="1"/>
  <c r="K33" i="17"/>
  <c r="C45" i="11"/>
  <c r="D46" i="2"/>
  <c r="D44" i="10"/>
  <c r="D45" i="11"/>
  <c r="C45" i="13"/>
  <c r="D45" i="12"/>
  <c r="E44" i="10"/>
  <c r="E46" i="2"/>
  <c r="J35" i="17"/>
  <c r="I35" i="17"/>
  <c r="D46" i="11"/>
  <c r="E45" i="10"/>
  <c r="E47" i="2"/>
  <c r="C46" i="13"/>
  <c r="H46" i="13" s="1"/>
  <c r="D46" i="12"/>
  <c r="K34" i="17"/>
  <c r="D45" i="10"/>
  <c r="C46" i="11"/>
  <c r="D47" i="2"/>
  <c r="C46" i="12"/>
  <c r="G46" i="12" s="1"/>
  <c r="G37" i="10"/>
  <c r="I25" i="8"/>
  <c r="F45" i="10" l="1"/>
  <c r="F44" i="10"/>
  <c r="D47" i="11"/>
  <c r="D48" i="11" s="1"/>
  <c r="D50" i="11" s="1"/>
  <c r="E48" i="2"/>
  <c r="E49" i="2" s="1"/>
  <c r="E51" i="2" s="1"/>
  <c r="E46" i="10"/>
  <c r="E47" i="10" s="1"/>
  <c r="D47" i="12"/>
  <c r="D48" i="12" s="1"/>
  <c r="D50" i="12" s="1"/>
  <c r="C47" i="13"/>
  <c r="C48" i="13" s="1"/>
  <c r="C50" i="13" s="1"/>
  <c r="C47" i="11"/>
  <c r="C48" i="11" s="1"/>
  <c r="C50" i="11" s="1"/>
  <c r="D46" i="10"/>
  <c r="D48" i="2"/>
  <c r="D49" i="2" s="1"/>
  <c r="D51" i="2" s="1"/>
  <c r="C47" i="12"/>
  <c r="C48" i="12" s="1"/>
  <c r="C50" i="12" s="1"/>
  <c r="G44" i="10"/>
  <c r="G45" i="10"/>
  <c r="F47" i="2"/>
  <c r="F46" i="2"/>
  <c r="K35" i="17"/>
  <c r="E46" i="12"/>
  <c r="G45" i="12"/>
  <c r="E45" i="12"/>
  <c r="H45" i="13"/>
  <c r="H46" i="12"/>
  <c r="J46" i="12" s="1"/>
  <c r="E46" i="11"/>
  <c r="E45" i="11"/>
  <c r="I31" i="8"/>
  <c r="D47" i="10" l="1"/>
  <c r="G47" i="10" s="1"/>
  <c r="F46" i="10"/>
  <c r="E49" i="10"/>
  <c r="H47" i="13"/>
  <c r="H48" i="13" s="1"/>
  <c r="E47" i="12"/>
  <c r="E48" i="12" s="1"/>
  <c r="E50" i="12" s="1"/>
  <c r="E47" i="11"/>
  <c r="E48" i="11" s="1"/>
  <c r="F48" i="2"/>
  <c r="F49" i="2" s="1"/>
  <c r="F51" i="2" s="1"/>
  <c r="H45" i="12"/>
  <c r="G47" i="12"/>
  <c r="G48" i="12" s="1"/>
  <c r="G50" i="12" s="1"/>
  <c r="G46" i="10"/>
  <c r="E50" i="11" l="1"/>
  <c r="G37" i="11"/>
  <c r="H37" i="11" s="1"/>
  <c r="H50" i="13"/>
  <c r="I37" i="13"/>
  <c r="J37" i="13" s="1"/>
  <c r="D49" i="10"/>
  <c r="F49" i="10" s="1"/>
  <c r="F47" i="10"/>
  <c r="J45" i="12"/>
  <c r="J47" i="12" s="1"/>
  <c r="H47" i="12"/>
  <c r="H48" i="12" s="1"/>
  <c r="H50" i="12" s="1"/>
  <c r="G33" i="11"/>
  <c r="H33" i="11" s="1"/>
  <c r="R24" i="17" s="1"/>
  <c r="G27" i="11"/>
  <c r="G32" i="11"/>
  <c r="G42" i="11"/>
  <c r="G23" i="11"/>
  <c r="G36" i="11"/>
  <c r="G24" i="11"/>
  <c r="G45" i="11"/>
  <c r="G39" i="11"/>
  <c r="G46" i="11"/>
  <c r="G19" i="11"/>
  <c r="G30" i="11"/>
  <c r="H30" i="11" s="1"/>
  <c r="R21" i="17" s="1"/>
  <c r="G34" i="11"/>
  <c r="G22" i="11"/>
  <c r="G40" i="11"/>
  <c r="G35" i="11"/>
  <c r="G20" i="11"/>
  <c r="G21" i="11"/>
  <c r="G25" i="11"/>
  <c r="G29" i="11"/>
  <c r="G43" i="11"/>
  <c r="G28" i="11"/>
  <c r="G31" i="11"/>
  <c r="G49" i="10" l="1"/>
  <c r="G41" i="11"/>
  <c r="G44" i="11"/>
  <c r="G26" i="11"/>
  <c r="G38" i="11"/>
  <c r="G47" i="11"/>
  <c r="J43" i="12"/>
  <c r="J35" i="12"/>
  <c r="J12" i="12"/>
  <c r="J22" i="12"/>
  <c r="J40" i="12"/>
  <c r="J25" i="12"/>
  <c r="J34" i="12"/>
  <c r="J29" i="12"/>
  <c r="J27" i="12"/>
  <c r="J15" i="12"/>
  <c r="J30" i="12"/>
  <c r="J28" i="12"/>
  <c r="J32" i="12"/>
  <c r="J31" i="12"/>
  <c r="J13" i="12"/>
  <c r="J23" i="12"/>
  <c r="J42" i="12"/>
  <c r="J36" i="12"/>
  <c r="J24" i="12"/>
  <c r="J39" i="12"/>
  <c r="J19" i="12"/>
  <c r="J41" i="12" l="1"/>
  <c r="J44" i="12"/>
  <c r="G48" i="11"/>
  <c r="J26" i="12"/>
  <c r="J38" i="12"/>
  <c r="I14" i="13"/>
  <c r="J14" i="13" s="1"/>
  <c r="S9" i="17" s="1"/>
  <c r="I12" i="13"/>
  <c r="J12" i="13" s="1"/>
  <c r="S7" i="17" s="1"/>
  <c r="I11" i="13"/>
  <c r="I13" i="13"/>
  <c r="J13" i="13" s="1"/>
  <c r="S8" i="17" s="1"/>
  <c r="I15" i="13"/>
  <c r="J10" i="12"/>
  <c r="I10" i="13"/>
  <c r="I33" i="13"/>
  <c r="J33" i="13" s="1"/>
  <c r="S24" i="17" s="1"/>
  <c r="H13" i="11"/>
  <c r="R8" i="17" s="1"/>
  <c r="H12" i="11"/>
  <c r="R7" i="17" s="1"/>
  <c r="H14" i="11"/>
  <c r="R9" i="17" s="1"/>
  <c r="I12" i="2" l="1"/>
  <c r="I16" i="13"/>
  <c r="J48" i="12"/>
  <c r="J16" i="12"/>
  <c r="J10" i="13"/>
  <c r="S5" i="17" s="1"/>
  <c r="J15" i="13"/>
  <c r="S10" i="17" s="1"/>
  <c r="J11" i="13"/>
  <c r="S6" i="17" s="1"/>
  <c r="I21" i="13"/>
  <c r="J21" i="13" s="1"/>
  <c r="S13" i="17" s="1"/>
  <c r="I20" i="13"/>
  <c r="J20" i="13" s="1"/>
  <c r="S12" i="17" s="1"/>
  <c r="I46" i="13"/>
  <c r="J46" i="13" s="1"/>
  <c r="I45" i="13"/>
  <c r="I32" i="13"/>
  <c r="J32" i="13" s="1"/>
  <c r="I27" i="13"/>
  <c r="I29" i="13"/>
  <c r="J29" i="13" s="1"/>
  <c r="S20" i="17" s="1"/>
  <c r="I34" i="13"/>
  <c r="J34" i="13" s="1"/>
  <c r="S25" i="17" s="1"/>
  <c r="I24" i="13"/>
  <c r="J24" i="13" s="1"/>
  <c r="S16" i="17" s="1"/>
  <c r="I25" i="13"/>
  <c r="J25" i="13" s="1"/>
  <c r="S17" i="17" s="1"/>
  <c r="I40" i="13"/>
  <c r="J40" i="13" s="1"/>
  <c r="I19" i="13"/>
  <c r="S28" i="17"/>
  <c r="J38" i="2" s="1"/>
  <c r="I36" i="13"/>
  <c r="J36" i="13" s="1"/>
  <c r="I35" i="13"/>
  <c r="J35" i="13" s="1"/>
  <c r="S26" i="17" s="1"/>
  <c r="I31" i="13"/>
  <c r="J31" i="13" s="1"/>
  <c r="S22" i="17" s="1"/>
  <c r="I23" i="13"/>
  <c r="J23" i="13" s="1"/>
  <c r="S15" i="17" s="1"/>
  <c r="I28" i="13"/>
  <c r="J28" i="13" s="1"/>
  <c r="S19" i="17" s="1"/>
  <c r="I39" i="13"/>
  <c r="I41" i="13" s="1"/>
  <c r="I30" i="13"/>
  <c r="J30" i="13" s="1"/>
  <c r="S21" i="17" s="1"/>
  <c r="I43" i="13"/>
  <c r="J43" i="13" s="1"/>
  <c r="I22" i="13"/>
  <c r="J22" i="13" s="1"/>
  <c r="S14" i="17" s="1"/>
  <c r="I42" i="13"/>
  <c r="H10" i="11"/>
  <c r="R5" i="17" s="1"/>
  <c r="S27" i="17" l="1"/>
  <c r="J33" i="2"/>
  <c r="S23" i="17"/>
  <c r="K33" i="12"/>
  <c r="L33" i="12" s="1"/>
  <c r="T24" i="17" s="1"/>
  <c r="K37" i="12"/>
  <c r="L37" i="12" s="1"/>
  <c r="J30" i="2"/>
  <c r="J12" i="2"/>
  <c r="I47" i="13"/>
  <c r="J50" i="12"/>
  <c r="K14" i="12"/>
  <c r="L14" i="12" s="1"/>
  <c r="T9" i="17" s="1"/>
  <c r="J16" i="13"/>
  <c r="H16" i="11"/>
  <c r="I44" i="13"/>
  <c r="I38" i="13"/>
  <c r="I26" i="13"/>
  <c r="J39" i="13"/>
  <c r="J42" i="13"/>
  <c r="S31" i="17" s="1"/>
  <c r="K11" i="12"/>
  <c r="L11" i="12" s="1"/>
  <c r="T6" i="17" s="1"/>
  <c r="K12" i="12"/>
  <c r="L12" i="12" s="1"/>
  <c r="T7" i="17" s="1"/>
  <c r="K13" i="12"/>
  <c r="L13" i="12" s="1"/>
  <c r="T8" i="17" s="1"/>
  <c r="K15" i="12"/>
  <c r="L15" i="12" s="1"/>
  <c r="T10" i="17" s="1"/>
  <c r="K21" i="12"/>
  <c r="L21" i="12" s="1"/>
  <c r="T13" i="17" s="1"/>
  <c r="K19" i="12"/>
  <c r="K40" i="12"/>
  <c r="L40" i="12" s="1"/>
  <c r="K24" i="12"/>
  <c r="L24" i="12" s="1"/>
  <c r="T16" i="17" s="1"/>
  <c r="K42" i="12"/>
  <c r="K25" i="12"/>
  <c r="L25" i="12" s="1"/>
  <c r="T17" i="17" s="1"/>
  <c r="K29" i="12"/>
  <c r="L29" i="12" s="1"/>
  <c r="T20" i="17" s="1"/>
  <c r="K23" i="12"/>
  <c r="L23" i="12" s="1"/>
  <c r="T15" i="17" s="1"/>
  <c r="K39" i="12"/>
  <c r="K36" i="12"/>
  <c r="L36" i="12" s="1"/>
  <c r="K30" i="12"/>
  <c r="L30" i="12" s="1"/>
  <c r="T21" i="17" s="1"/>
  <c r="K27" i="12"/>
  <c r="K34" i="12"/>
  <c r="L34" i="12" s="1"/>
  <c r="T25" i="17" s="1"/>
  <c r="K32" i="12"/>
  <c r="L32" i="12" s="1"/>
  <c r="K35" i="12"/>
  <c r="L35" i="12" s="1"/>
  <c r="T26" i="17" s="1"/>
  <c r="K45" i="12"/>
  <c r="K31" i="12"/>
  <c r="L31" i="12" s="1"/>
  <c r="T22" i="17" s="1"/>
  <c r="K28" i="12"/>
  <c r="L28" i="12" s="1"/>
  <c r="T19" i="17" s="1"/>
  <c r="K20" i="12"/>
  <c r="L20" i="12" s="1"/>
  <c r="T12" i="17" s="1"/>
  <c r="K22" i="12"/>
  <c r="L22" i="12" s="1"/>
  <c r="T14" i="17" s="1"/>
  <c r="K43" i="12"/>
  <c r="L43" i="12" s="1"/>
  <c r="K46" i="12"/>
  <c r="L46" i="12" s="1"/>
  <c r="K10" i="12"/>
  <c r="J19" i="13"/>
  <c r="J27" i="13"/>
  <c r="S18" i="17" s="1"/>
  <c r="J45" i="13"/>
  <c r="S32" i="17" s="1"/>
  <c r="H20" i="11"/>
  <c r="R12" i="17" s="1"/>
  <c r="H21" i="11"/>
  <c r="R13" i="17" s="1"/>
  <c r="H45" i="11"/>
  <c r="H46" i="11"/>
  <c r="H19" i="11"/>
  <c r="R11" i="17" s="1"/>
  <c r="H23" i="11"/>
  <c r="R15" i="17" s="1"/>
  <c r="H22" i="11"/>
  <c r="R14" i="17" s="1"/>
  <c r="H40" i="11"/>
  <c r="R28" i="17"/>
  <c r="I38" i="2" s="1"/>
  <c r="H31" i="11"/>
  <c r="R22" i="17" s="1"/>
  <c r="H28" i="11"/>
  <c r="R19" i="17" s="1"/>
  <c r="H29" i="11"/>
  <c r="R20" i="17" s="1"/>
  <c r="H35" i="11"/>
  <c r="R26" i="17" s="1"/>
  <c r="H24" i="11"/>
  <c r="R16" i="17" s="1"/>
  <c r="H25" i="11"/>
  <c r="R17" i="17" s="1"/>
  <c r="H39" i="11"/>
  <c r="H42" i="11"/>
  <c r="H43" i="11"/>
  <c r="H36" i="11"/>
  <c r="H32" i="11"/>
  <c r="H34" i="11"/>
  <c r="R25" i="17" s="1"/>
  <c r="T28" i="17" l="1"/>
  <c r="K38" i="2" s="1"/>
  <c r="K33" i="2"/>
  <c r="R27" i="17"/>
  <c r="I33" i="2"/>
  <c r="T27" i="17"/>
  <c r="R34" i="17"/>
  <c r="S34" i="17"/>
  <c r="T23" i="17"/>
  <c r="R23" i="17"/>
  <c r="S29" i="17"/>
  <c r="R31" i="17"/>
  <c r="R30" i="17"/>
  <c r="R33" i="17"/>
  <c r="R32" i="17"/>
  <c r="S30" i="17"/>
  <c r="I40" i="2"/>
  <c r="R29" i="17"/>
  <c r="J47" i="13"/>
  <c r="S33" i="17"/>
  <c r="J20" i="2"/>
  <c r="S11" i="17"/>
  <c r="K12" i="2"/>
  <c r="I43" i="2"/>
  <c r="K30" i="2"/>
  <c r="J41" i="13"/>
  <c r="J40" i="2"/>
  <c r="I20" i="2"/>
  <c r="I30" i="2"/>
  <c r="J28" i="2"/>
  <c r="J44" i="13"/>
  <c r="J43" i="2"/>
  <c r="I11" i="2"/>
  <c r="I17" i="2" s="1"/>
  <c r="J29" i="2"/>
  <c r="J11" i="2"/>
  <c r="J17" i="2" s="1"/>
  <c r="J24" i="2"/>
  <c r="J26" i="2"/>
  <c r="J23" i="2"/>
  <c r="J25" i="2"/>
  <c r="I48" i="13"/>
  <c r="K16" i="12"/>
  <c r="H26" i="11"/>
  <c r="H47" i="11"/>
  <c r="H44" i="11"/>
  <c r="H41" i="11"/>
  <c r="L45" i="12"/>
  <c r="T33" i="17" s="1"/>
  <c r="K47" i="12"/>
  <c r="L42" i="12"/>
  <c r="T31" i="17" s="1"/>
  <c r="K44" i="12"/>
  <c r="L39" i="12"/>
  <c r="K41" i="12"/>
  <c r="L27" i="12"/>
  <c r="T18" i="17" s="1"/>
  <c r="K38" i="12"/>
  <c r="L19" i="12"/>
  <c r="K26" i="12"/>
  <c r="J26" i="13"/>
  <c r="L10" i="12"/>
  <c r="T5" i="17" s="1"/>
  <c r="H27" i="11"/>
  <c r="R18" i="17" s="1"/>
  <c r="J47" i="2" l="1"/>
  <c r="I47" i="2"/>
  <c r="T34" i="17"/>
  <c r="K47" i="2" s="1"/>
  <c r="J39" i="2"/>
  <c r="T29" i="17"/>
  <c r="T32" i="17"/>
  <c r="T30" i="17"/>
  <c r="R35" i="17"/>
  <c r="K20" i="2"/>
  <c r="T11" i="17"/>
  <c r="S35" i="17"/>
  <c r="K40" i="2"/>
  <c r="K28" i="2"/>
  <c r="K43" i="2"/>
  <c r="H48" i="11"/>
  <c r="H50" i="11" s="1"/>
  <c r="I28" i="2"/>
  <c r="K24" i="2"/>
  <c r="I26" i="2"/>
  <c r="K23" i="2"/>
  <c r="I46" i="2"/>
  <c r="K26" i="2"/>
  <c r="I24" i="2"/>
  <c r="I23" i="2"/>
  <c r="I29" i="2"/>
  <c r="K29" i="2"/>
  <c r="I25" i="2"/>
  <c r="K25" i="2"/>
  <c r="J46" i="2"/>
  <c r="J48" i="13"/>
  <c r="J50" i="13" s="1"/>
  <c r="K48" i="12"/>
  <c r="L16" i="12"/>
  <c r="L26" i="12"/>
  <c r="L47" i="12"/>
  <c r="L44" i="12"/>
  <c r="L41" i="12"/>
  <c r="K39" i="2" l="1"/>
  <c r="I39" i="2"/>
  <c r="T35" i="17"/>
  <c r="I42" i="2"/>
  <c r="I48" i="2"/>
  <c r="J48" i="2"/>
  <c r="J27" i="2"/>
  <c r="J45" i="2"/>
  <c r="J42" i="2"/>
  <c r="I27" i="2"/>
  <c r="I45" i="2"/>
  <c r="K46" i="2"/>
  <c r="K11" i="2"/>
  <c r="K17" i="2" s="1"/>
  <c r="L48" i="12"/>
  <c r="L50" i="12" s="1"/>
  <c r="J49" i="2" l="1"/>
  <c r="J51" i="2" s="1"/>
  <c r="K42" i="2"/>
  <c r="K45" i="2"/>
  <c r="K48" i="2"/>
  <c r="K27" i="2"/>
  <c r="I49" i="2"/>
  <c r="J18" i="8"/>
  <c r="V14" i="17" s="1"/>
  <c r="J42" i="8"/>
  <c r="J36" i="8"/>
  <c r="J25" i="8"/>
  <c r="V20" i="17" s="1"/>
  <c r="J21" i="8"/>
  <c r="V17" i="17" s="1"/>
  <c r="J39" i="8"/>
  <c r="J26" i="8"/>
  <c r="V21" i="17" s="1"/>
  <c r="J32" i="8"/>
  <c r="V28" i="17" l="1"/>
  <c r="V27" i="17"/>
  <c r="I51" i="2"/>
  <c r="K49" i="2"/>
  <c r="J28" i="8"/>
  <c r="V23" i="17" s="1"/>
  <c r="J19" i="8"/>
  <c r="V15" i="17" s="1"/>
  <c r="J30" i="8"/>
  <c r="V25" i="17" s="1"/>
  <c r="J27" i="8"/>
  <c r="V22" i="17" s="1"/>
  <c r="J35" i="8"/>
  <c r="J41" i="8"/>
  <c r="V33" i="17" s="1"/>
  <c r="J15" i="8"/>
  <c r="V11" i="17" s="1"/>
  <c r="J38" i="8"/>
  <c r="V31" i="17" s="1"/>
  <c r="V34" i="17" l="1"/>
  <c r="V29" i="17"/>
  <c r="V32" i="17"/>
  <c r="V30" i="17"/>
  <c r="K51" i="2"/>
  <c r="J40" i="8"/>
  <c r="J43" i="8"/>
  <c r="J37" i="8"/>
  <c r="I8" i="8" l="1"/>
  <c r="I7" i="8" l="1"/>
  <c r="I12" i="8" l="1"/>
  <c r="F46" i="15"/>
  <c r="F25" i="15"/>
  <c r="F21" i="15"/>
  <c r="F19" i="15"/>
  <c r="F20" i="15"/>
  <c r="F23" i="15"/>
  <c r="F24" i="15"/>
  <c r="F22" i="15"/>
  <c r="F42" i="15"/>
  <c r="F43" i="15"/>
  <c r="F40" i="15"/>
  <c r="F39" i="15"/>
  <c r="F10" i="15"/>
  <c r="F12" i="15"/>
  <c r="F13" i="15"/>
  <c r="F11" i="15"/>
  <c r="F15" i="15"/>
  <c r="F14" i="15"/>
  <c r="F41" i="15" l="1"/>
  <c r="F47" i="15"/>
  <c r="F44" i="15"/>
  <c r="F26" i="15"/>
  <c r="F16" i="15"/>
  <c r="G24" i="15"/>
  <c r="U16" i="17" s="1"/>
  <c r="G20" i="15"/>
  <c r="G39" i="15"/>
  <c r="G19" i="15"/>
  <c r="U11" i="17" s="1"/>
  <c r="G13" i="15"/>
  <c r="U8" i="17" s="1"/>
  <c r="G23" i="15"/>
  <c r="U15" i="17" s="1"/>
  <c r="G40" i="15"/>
  <c r="U30" i="17" s="1"/>
  <c r="G43" i="15"/>
  <c r="G15" i="15"/>
  <c r="U10" i="17" s="1"/>
  <c r="G42" i="15"/>
  <c r="G25" i="15"/>
  <c r="U17" i="17" s="1"/>
  <c r="G12" i="15"/>
  <c r="U7" i="17" s="1"/>
  <c r="G14" i="15"/>
  <c r="U9" i="17" s="1"/>
  <c r="G21" i="15"/>
  <c r="U13" i="17" s="1"/>
  <c r="G22" i="15"/>
  <c r="U14" i="17" s="1"/>
  <c r="G46" i="15"/>
  <c r="U34" i="17" s="1"/>
  <c r="G11" i="15"/>
  <c r="U6" i="17" s="1"/>
  <c r="U31" i="17" l="1"/>
  <c r="U33" i="17"/>
  <c r="U29" i="17"/>
  <c r="U32" i="17"/>
  <c r="U12" i="17"/>
  <c r="H43" i="2"/>
  <c r="H40" i="2"/>
  <c r="H12" i="2"/>
  <c r="H20" i="2"/>
  <c r="H26" i="2"/>
  <c r="H47" i="2"/>
  <c r="H24" i="2"/>
  <c r="H25" i="2"/>
  <c r="G47" i="15"/>
  <c r="G44" i="15"/>
  <c r="G41" i="15"/>
  <c r="G26" i="15"/>
  <c r="L12" i="2" l="1"/>
  <c r="L24" i="2"/>
  <c r="M24" i="2" s="1"/>
  <c r="L25" i="2"/>
  <c r="L47" i="2"/>
  <c r="M47" i="2" s="1"/>
  <c r="L26" i="2"/>
  <c r="M26" i="2" s="1"/>
  <c r="H46" i="2"/>
  <c r="H23" i="2"/>
  <c r="K10" i="8" l="1"/>
  <c r="K7" i="8"/>
  <c r="K8" i="8"/>
  <c r="K11" i="8"/>
  <c r="K9" i="8"/>
  <c r="L40" i="2"/>
  <c r="L20" i="2"/>
  <c r="L23" i="2"/>
  <c r="M23" i="2" s="1"/>
  <c r="L46" i="2"/>
  <c r="M46" i="2" s="1"/>
  <c r="M48" i="2" s="1"/>
  <c r="H45" i="2"/>
  <c r="L43" i="2"/>
  <c r="H48" i="2"/>
  <c r="H27" i="2"/>
  <c r="M41" i="2" l="1"/>
  <c r="M40" i="2"/>
  <c r="M44" i="2"/>
  <c r="M43" i="2"/>
  <c r="L48" i="2"/>
  <c r="X34" i="17"/>
  <c r="L45" i="2"/>
  <c r="L27" i="2"/>
  <c r="M42" i="2" l="1"/>
  <c r="J20" i="8"/>
  <c r="V16" i="17" s="1"/>
  <c r="M25" i="2" l="1"/>
  <c r="X17" i="17"/>
  <c r="X15" i="17"/>
  <c r="I22" i="10"/>
  <c r="I24" i="10"/>
  <c r="X14" i="17"/>
  <c r="I21" i="10"/>
  <c r="K21" i="10" s="1"/>
  <c r="K22" i="10" l="1"/>
  <c r="I23" i="10"/>
  <c r="X16" i="17"/>
  <c r="K24" i="10"/>
  <c r="I32" i="8"/>
  <c r="K23" i="10" l="1"/>
  <c r="F33" i="15"/>
  <c r="I28" i="8"/>
  <c r="I34" i="8" l="1"/>
  <c r="I44" i="8" s="1"/>
  <c r="I46" i="8" s="1"/>
  <c r="G33" i="15"/>
  <c r="U24" i="17" s="1"/>
  <c r="F30" i="15"/>
  <c r="F29" i="15"/>
  <c r="F31" i="15"/>
  <c r="F35" i="15"/>
  <c r="F32" i="15"/>
  <c r="F36" i="15"/>
  <c r="F27" i="15"/>
  <c r="F28" i="15"/>
  <c r="F34" i="15"/>
  <c r="F38" i="15" l="1"/>
  <c r="F48" i="15" s="1"/>
  <c r="F50" i="15" s="1"/>
  <c r="G27" i="15"/>
  <c r="G32" i="15"/>
  <c r="G28" i="15"/>
  <c r="U19" i="17" s="1"/>
  <c r="G35" i="15"/>
  <c r="U26" i="17" s="1"/>
  <c r="G29" i="15"/>
  <c r="U20" i="17" s="1"/>
  <c r="G36" i="15"/>
  <c r="G31" i="15"/>
  <c r="U22" i="17" s="1"/>
  <c r="G34" i="15"/>
  <c r="U25" i="17" s="1"/>
  <c r="G30" i="15"/>
  <c r="U21" i="17" s="1"/>
  <c r="U28" i="17" l="1"/>
  <c r="H38" i="2" s="1"/>
  <c r="L38" i="2" s="1"/>
  <c r="M38" i="2" s="1"/>
  <c r="H33" i="2"/>
  <c r="L33" i="2" s="1"/>
  <c r="M33" i="2" s="1"/>
  <c r="U18" i="17"/>
  <c r="G38" i="15"/>
  <c r="G48" i="15" s="1"/>
  <c r="U23" i="17"/>
  <c r="U27" i="17"/>
  <c r="H30" i="2"/>
  <c r="H28" i="2"/>
  <c r="H29" i="2"/>
  <c r="L42" i="2"/>
  <c r="H42" i="2"/>
  <c r="M35" i="2" l="1"/>
  <c r="M37" i="2"/>
  <c r="M34" i="2"/>
  <c r="H39" i="2"/>
  <c r="L28" i="2"/>
  <c r="L30" i="2"/>
  <c r="L29" i="2"/>
  <c r="L39" i="2" l="1"/>
  <c r="I36" i="10"/>
  <c r="K36" i="10" s="1"/>
  <c r="M30" i="2"/>
  <c r="M31" i="2"/>
  <c r="M32" i="2"/>
  <c r="K31" i="8"/>
  <c r="K23" i="8"/>
  <c r="H49" i="2" l="1"/>
  <c r="J24" i="8"/>
  <c r="V19" i="17" l="1"/>
  <c r="M29" i="2"/>
  <c r="M45" i="2"/>
  <c r="L49" i="2"/>
  <c r="X21" i="17"/>
  <c r="I35" i="10"/>
  <c r="X25" i="17" l="1"/>
  <c r="J23" i="8"/>
  <c r="J17" i="8"/>
  <c r="V13" i="17" s="1"/>
  <c r="I30" i="10"/>
  <c r="K30" i="10" s="1"/>
  <c r="J16" i="8"/>
  <c r="J8" i="8"/>
  <c r="V7" i="17" s="1"/>
  <c r="X28" i="17"/>
  <c r="I32" i="10"/>
  <c r="I29" i="10"/>
  <c r="J7" i="8"/>
  <c r="X27" i="17"/>
  <c r="X33" i="17"/>
  <c r="I45" i="10"/>
  <c r="X24" i="17"/>
  <c r="K35" i="10"/>
  <c r="I38" i="10"/>
  <c r="X29" i="17"/>
  <c r="V12" i="17" l="1"/>
  <c r="M22" i="2"/>
  <c r="M21" i="2"/>
  <c r="M20" i="2"/>
  <c r="I18" i="10" s="1"/>
  <c r="K18" i="10" s="1"/>
  <c r="V6" i="17"/>
  <c r="V18" i="17"/>
  <c r="J11" i="8"/>
  <c r="V10" i="17" s="1"/>
  <c r="I40" i="10"/>
  <c r="I33" i="10"/>
  <c r="K33" i="10" s="1"/>
  <c r="I31" i="10"/>
  <c r="K31" i="10" s="1"/>
  <c r="X23" i="17"/>
  <c r="J22" i="8"/>
  <c r="K22" i="8" s="1"/>
  <c r="X22" i="17"/>
  <c r="X20" i="17"/>
  <c r="I28" i="10"/>
  <c r="J31" i="8"/>
  <c r="J9" i="8"/>
  <c r="V8" i="17" s="1"/>
  <c r="J10" i="8"/>
  <c r="V9" i="17" s="1"/>
  <c r="I27" i="10"/>
  <c r="X19" i="17"/>
  <c r="K32" i="10"/>
  <c r="K29" i="10"/>
  <c r="I41" i="10"/>
  <c r="I43" i="10"/>
  <c r="X32" i="17"/>
  <c r="I44" i="10"/>
  <c r="X30" i="17"/>
  <c r="K45" i="10"/>
  <c r="X31" i="17"/>
  <c r="I46" i="10"/>
  <c r="I39" i="10"/>
  <c r="I42" i="10"/>
  <c r="K38" i="10"/>
  <c r="M14" i="2" l="1"/>
  <c r="M16" i="2"/>
  <c r="M13" i="2"/>
  <c r="I11" i="10" s="1"/>
  <c r="M15" i="2"/>
  <c r="X9" i="17" s="1"/>
  <c r="M12" i="2"/>
  <c r="M28" i="2"/>
  <c r="V26" i="17"/>
  <c r="X11" i="17"/>
  <c r="M27" i="2"/>
  <c r="K28" i="10"/>
  <c r="J34" i="8"/>
  <c r="J44" i="8" s="1"/>
  <c r="X12" i="17"/>
  <c r="I19" i="10"/>
  <c r="K27" i="10"/>
  <c r="X13" i="17"/>
  <c r="I20" i="10"/>
  <c r="K44" i="10"/>
  <c r="K41" i="10"/>
  <c r="K42" i="10"/>
  <c r="K46" i="10"/>
  <c r="K39" i="10"/>
  <c r="K40" i="10"/>
  <c r="K43" i="10"/>
  <c r="M36" i="2" l="1"/>
  <c r="M39" i="2" s="1"/>
  <c r="M49" i="2" s="1"/>
  <c r="X7" i="17"/>
  <c r="I13" i="10"/>
  <c r="K13" i="10" s="1"/>
  <c r="I25" i="10"/>
  <c r="K25" i="10" s="1"/>
  <c r="K34" i="8"/>
  <c r="I26" i="10"/>
  <c r="X18" i="17"/>
  <c r="K19" i="10"/>
  <c r="K11" i="10"/>
  <c r="K20" i="10"/>
  <c r="X10" i="17"/>
  <c r="I14" i="10"/>
  <c r="X26" i="17" l="1"/>
  <c r="I34" i="10"/>
  <c r="K34" i="10" s="1"/>
  <c r="I12" i="10"/>
  <c r="X8" i="17"/>
  <c r="I37" i="10"/>
  <c r="K37" i="10" s="1"/>
  <c r="K26" i="10"/>
  <c r="X6" i="17"/>
  <c r="I10" i="10"/>
  <c r="K14" i="10"/>
  <c r="I47" i="10" l="1"/>
  <c r="K47" i="10" s="1"/>
  <c r="K12" i="10"/>
  <c r="K10" i="10"/>
  <c r="P5" i="17" l="1"/>
  <c r="C10" i="15" s="1"/>
  <c r="C16" i="15" s="1"/>
  <c r="C50" i="15" l="1"/>
  <c r="G10" i="15"/>
  <c r="G16" i="15" l="1"/>
  <c r="G50" i="15" s="1"/>
  <c r="U5" i="17"/>
  <c r="H11" i="2" l="1"/>
  <c r="U35" i="17"/>
  <c r="H17" i="2" l="1"/>
  <c r="H51" i="2" s="1"/>
  <c r="L11" i="2"/>
  <c r="L17" i="2" l="1"/>
  <c r="L51" i="2" s="1"/>
  <c r="K6" i="8"/>
  <c r="J6" i="8" s="1"/>
  <c r="M11" i="2" s="1"/>
  <c r="I9" i="10" s="1"/>
  <c r="X5" i="17" l="1"/>
  <c r="M17" i="2"/>
  <c r="K9" i="10"/>
  <c r="V5" i="17"/>
  <c r="V35" i="17" s="1"/>
  <c r="J12" i="8"/>
  <c r="I15" i="10" l="1"/>
  <c r="K15" i="10" s="1"/>
  <c r="M51" i="2"/>
  <c r="I49" i="10" s="1"/>
  <c r="K49" i="10" s="1"/>
  <c r="K12" i="8"/>
  <c r="J46" i="8"/>
</calcChain>
</file>

<file path=xl/sharedStrings.xml><?xml version="1.0" encoding="utf-8"?>
<sst xmlns="http://schemas.openxmlformats.org/spreadsheetml/2006/main" count="458" uniqueCount="229">
  <si>
    <t>Paramètres</t>
  </si>
  <si>
    <t>Imprimés</t>
  </si>
  <si>
    <t>% de provision pour mauvaises créances</t>
  </si>
  <si>
    <t>Répartition des coûts nets par catégorie</t>
  </si>
  <si>
    <t>Contenants et emballages</t>
  </si>
  <si>
    <t>Magazines</t>
  </si>
  <si>
    <t>Crédit contenu recyclé</t>
  </si>
  <si>
    <t>Encarts et circulaires imprimés sur du papier journal</t>
  </si>
  <si>
    <t>Catalogues et publications</t>
  </si>
  <si>
    <t>Annuaires téléphoniques</t>
  </si>
  <si>
    <t>Autres imprimés</t>
  </si>
  <si>
    <t>Papier à usage général</t>
  </si>
  <si>
    <t>Carton ondulé</t>
  </si>
  <si>
    <t>Carton plat et autres emballages de papier</t>
  </si>
  <si>
    <t>Contenants à pignon</t>
  </si>
  <si>
    <t>Laminés de papier</t>
  </si>
  <si>
    <t>Contenants aseptiques</t>
  </si>
  <si>
    <t>Verre</t>
  </si>
  <si>
    <t>Verre clair</t>
  </si>
  <si>
    <t>Verre coloré</t>
  </si>
  <si>
    <t>Autres contenants en acier</t>
  </si>
  <si>
    <t>Autres contenants et emballages en aluminium</t>
  </si>
  <si>
    <t>Plastique</t>
  </si>
  <si>
    <t>Plastiques stratifiés</t>
  </si>
  <si>
    <t>Bouteilles PET</t>
  </si>
  <si>
    <t>Bouteilles HDPE</t>
  </si>
  <si>
    <t>Pellicules HDPE et LDPE</t>
  </si>
  <si>
    <t>Polystyrène non expansé</t>
  </si>
  <si>
    <t>Autres plastiques, polymères et polyuréthanne</t>
  </si>
  <si>
    <t>IMPRIMÉS</t>
  </si>
  <si>
    <t>CONTENANTS ET EMBALLAGES</t>
  </si>
  <si>
    <t>IMPRIMÉS TOTAL</t>
  </si>
  <si>
    <t>Verre TOTAL</t>
  </si>
  <si>
    <t>Plastique TOTAL</t>
  </si>
  <si>
    <t>CONTENANTS ET EMBALLAGES TOTAL</t>
  </si>
  <si>
    <t>TOTAL</t>
  </si>
  <si>
    <t>Matières</t>
  </si>
  <si>
    <t>Papier/carton</t>
  </si>
  <si>
    <t>Acier</t>
  </si>
  <si>
    <t>Aluminium</t>
  </si>
  <si>
    <t>Total</t>
  </si>
  <si>
    <t>Tous</t>
  </si>
  <si>
    <t>Provision pour mauvaises créances</t>
  </si>
  <si>
    <t>Catégorie</t>
  </si>
  <si>
    <t>Total (assumé par ÉEQ)</t>
  </si>
  <si>
    <t>Frais de gestion imputés</t>
  </si>
  <si>
    <t>POIDS DES FACTEURS</t>
  </si>
  <si>
    <t>Objectif de récupération (Facteur 3)</t>
  </si>
  <si>
    <t>Application du crédit</t>
  </si>
  <si>
    <t>Oui</t>
  </si>
  <si>
    <t>Non</t>
  </si>
  <si>
    <t>Anticipé</t>
  </si>
  <si>
    <t>Utilisé pour calcul</t>
  </si>
  <si>
    <t>Tarif</t>
  </si>
  <si>
    <t>Facteurs</t>
  </si>
  <si>
    <t>Aluminium TOTAL</t>
  </si>
  <si>
    <t>Facteur 1</t>
  </si>
  <si>
    <t>Facteur 2</t>
  </si>
  <si>
    <t>Facteur 3</t>
  </si>
  <si>
    <t>Sommaire exécutif</t>
  </si>
  <si>
    <t>Coûts nets estimés</t>
  </si>
  <si>
    <t>Part assumée par l'industrie</t>
  </si>
  <si>
    <t>Part assumée par ÉEQ</t>
  </si>
  <si>
    <t>Frais d'administration - ÉEQ</t>
  </si>
  <si>
    <t>Fonds de risque</t>
  </si>
  <si>
    <t>Provision et Fonds de risque</t>
  </si>
  <si>
    <t>POIDS DU FACTEUR 1 :</t>
  </si>
  <si>
    <t>Coûts nets</t>
  </si>
  <si>
    <t>POIDS DU FACTEUR 2 :</t>
  </si>
  <si>
    <t>POIDS DU FACTEUR 3 :</t>
  </si>
  <si>
    <t>Allocation des coûts du facteur par catégorie</t>
  </si>
  <si>
    <t>Proportion par catégorie
(%)</t>
  </si>
  <si>
    <t>Coûts nets &amp; part de l'industrie</t>
  </si>
  <si>
    <t>Total Coûts nets</t>
  </si>
  <si>
    <t>Coûts nets assumés par l'industrie</t>
  </si>
  <si>
    <t>Coûts nets assumés par ÉEQ</t>
  </si>
  <si>
    <t>Coûts nets et frais de gestion</t>
  </si>
  <si>
    <t>Coût Facteur 1
($)</t>
  </si>
  <si>
    <t>Provision et fonds de risque</t>
  </si>
  <si>
    <t xml:space="preserve">Tarif </t>
  </si>
  <si>
    <t>Comparaison année précédente</t>
  </si>
  <si>
    <t>Total Facteur 1
($)</t>
  </si>
  <si>
    <t>Total Facteur 2
($)</t>
  </si>
  <si>
    <t>Total Facteur 3
($)</t>
  </si>
  <si>
    <t>Coût total
($)</t>
  </si>
  <si>
    <t>Coût Facteur 2
($)</t>
  </si>
  <si>
    <t xml:space="preserve">Objectif de récupération
(tonnes) </t>
  </si>
  <si>
    <t>Tonnage manquant
(tonnes)</t>
  </si>
  <si>
    <t>Coûts nets pour atteindre l'objectif
($)</t>
  </si>
  <si>
    <t>Coût Facteur 3
($)</t>
  </si>
  <si>
    <t>Frais d'études spécifiques
($)</t>
  </si>
  <si>
    <t>Proportion des 
coûts nets
(%)</t>
  </si>
  <si>
    <t>Coûts nets
($)</t>
  </si>
  <si>
    <t>Coûts nets totaux (incluant provision et fonds de risque)
($)</t>
  </si>
  <si>
    <t>% Provision pour mauvaise créances</t>
  </si>
  <si>
    <t>Montant actuel du Fonds de risque</t>
  </si>
  <si>
    <t>Fonds de risque cible (% des coûts nets)</t>
  </si>
  <si>
    <t>Variables clés</t>
  </si>
  <si>
    <t>Année de Tarif et scénario</t>
  </si>
  <si>
    <t>Tonnage se prévalant du crédit (%)</t>
  </si>
  <si>
    <t>Crédit accordé pour contenu recyclé (%)</t>
  </si>
  <si>
    <t>Poids du facteur 3 "Équilibreur"</t>
  </si>
  <si>
    <t>Poids du facteur 1 "Taux de récupération par matière"</t>
  </si>
  <si>
    <t>Poids du facteur 2 "Coût net par matière"</t>
  </si>
  <si>
    <t>Part assumée par l'industrie (%)</t>
  </si>
  <si>
    <t>Part assumée par ÉÉQ (%)</t>
  </si>
  <si>
    <t>Montant forfaitaire - Municipalités (%)</t>
  </si>
  <si>
    <t>Indemnité - RECYC-QUÉBEC (%)</t>
  </si>
  <si>
    <t>Frais d'études et projets - ÉEQ</t>
  </si>
  <si>
    <t>Catégories et 
Sous-catégories</t>
  </si>
  <si>
    <t>Emballages de papier kraft</t>
  </si>
  <si>
    <t>Indemnité RQ_
Frais de gestion
($)</t>
  </si>
  <si>
    <t>Total Indemnité RQ_
Frais de gestion 
($)</t>
  </si>
  <si>
    <t>Indemnité RECYC-QUÉBEC et frais de gestion</t>
  </si>
  <si>
    <t>Facteur 1 (Taux de récupération par matière)</t>
  </si>
  <si>
    <t xml:space="preserve"> Facteur 2 (Coût net par matière)</t>
  </si>
  <si>
    <t>Coûts nets/tonne
($/tonne)</t>
  </si>
  <si>
    <t>Facteur 3 (Équilibreur)</t>
  </si>
  <si>
    <t>Tonnage se prévalant du crédit</t>
  </si>
  <si>
    <t>Crédit par tonne déclarée 
($/tonne)</t>
  </si>
  <si>
    <t>Calcul du crédit pour contenu recyclé</t>
  </si>
  <si>
    <t>Montant forfaitaire - Municipalités</t>
  </si>
  <si>
    <t>Indemnité RECYC-QUÉBEC assumée par ÉEQ</t>
  </si>
  <si>
    <t>Indemnité RECYC-QUÉBEC</t>
  </si>
  <si>
    <t>Part assumée par ÉEQ (%)</t>
  </si>
  <si>
    <t>Total Indemnité RECYC-QUÉBEC assumée par ÉEQ</t>
  </si>
  <si>
    <t>Coûts répartis selon la formule à 3 facteurs par catégorie</t>
  </si>
  <si>
    <t>Coûts totaux</t>
  </si>
  <si>
    <t>Sacs de papier kraft</t>
  </si>
  <si>
    <t>Contenants de PET</t>
  </si>
  <si>
    <t>Matière</t>
  </si>
  <si>
    <t>Sous-catégorie</t>
  </si>
  <si>
    <t>Nombre déclarations</t>
  </si>
  <si>
    <t>Quantité déclarée (tonnes)</t>
  </si>
  <si>
    <t>Quantité générée (tonnes)</t>
  </si>
  <si>
    <t>Quantité récupérée (tonnes)</t>
  </si>
  <si>
    <t>% récupération</t>
  </si>
  <si>
    <t>Coût net ACA</t>
  </si>
  <si>
    <t>Coût brut</t>
  </si>
  <si>
    <t>Revenu brut</t>
  </si>
  <si>
    <t>Frais d'étude</t>
  </si>
  <si>
    <t>Tarif final</t>
  </si>
  <si>
    <r>
      <t>Nombre de déclarations</t>
    </r>
    <r>
      <rPr>
        <b/>
        <vertAlign val="superscript"/>
        <sz val="11"/>
        <color theme="1"/>
        <rFont val="Arial"/>
        <family val="2"/>
      </rPr>
      <t>1</t>
    </r>
  </si>
  <si>
    <t>Quantité totale 
(kg)</t>
  </si>
  <si>
    <r>
      <rPr>
        <vertAlign val="superscript"/>
        <sz val="11"/>
        <color theme="1"/>
        <rFont val="Arial"/>
        <family val="2"/>
      </rPr>
      <t>1</t>
    </r>
    <r>
      <rPr>
        <sz val="11"/>
        <color theme="1"/>
        <rFont val="Arial"/>
        <family val="2"/>
      </rPr>
      <t xml:space="preserve"> Le nombre de déclarations représente le nombre d'entreprises ayant déclaré une matière donnée. Une entreprise peut déclarer plus d'une matière, c'est pourquoi le nombre de déclarations est supérieur au nombre d'entreprises contributrices. </t>
    </r>
  </si>
  <si>
    <t>% déduction P&amp;E</t>
  </si>
  <si>
    <t>Compensation maximale RecycleMédias</t>
  </si>
  <si>
    <t>Article 8.14 Règlement 2013  (http://www2.publicationsduquebec.gouv.qc.ca/dynamicSearch/telecharge.php?type=2&amp;file=//Q_2/Q2R10.htm)</t>
  </si>
  <si>
    <t>Article 8.9   Règlement 2013  (http://www2.publicationsduquebec.gouv.qc.ca/dynamicSearch/telecharge.php?type=2&amp;file=//Q_2/Q2R10.htm)</t>
  </si>
  <si>
    <t>Article 8.5   Règlement 2013  (http://www2.publicationsduquebec.gouv.qc.ca/dynamicSearch/telecharge.php?type=2&amp;file=//Q_2/Q2R10.htm)</t>
  </si>
  <si>
    <t>Article 8.8   Règlement 2013  (http://www2.publicationsduquebec.gouv.qc.ca/dynamicSearch/telecharge.php?type=2&amp;file=//Q_2/Q2R10.htm)</t>
  </si>
  <si>
    <t>C'est ici que sont consolidés les résultats qui sont utilisés dans les feuilles de calcul: Facteur_1, Facteur_2, Facteur_3, Frais de gestion, Tarif, Crédit contenu recyclé, Sommaire exécutif</t>
  </si>
  <si>
    <t>Calcul défini à l'article 8.14 Règlement 2013  (http://www2.publicationsduquebec.gouv.qc.ca/dynamicSearch/telecharge.php?type=2&amp;file=//Q_2/Q2R10.htm)</t>
  </si>
  <si>
    <t>Retraits fonds de risque</t>
  </si>
  <si>
    <t>Conjoint</t>
  </si>
  <si>
    <r>
      <t>Matière</t>
    </r>
    <r>
      <rPr>
        <b/>
        <vertAlign val="superscript"/>
        <sz val="11"/>
        <color theme="1"/>
        <rFont val="Arial"/>
        <family val="2"/>
      </rPr>
      <t>1</t>
    </r>
  </si>
  <si>
    <t>Indemnité RQ et Frais de gestion</t>
  </si>
  <si>
    <t>Fonds de risque à renflouer</t>
  </si>
  <si>
    <t>Proportion relative des catégories
(%)</t>
  </si>
  <si>
    <t>Retrait fonds de risque
($)</t>
  </si>
  <si>
    <t>% variation</t>
  </si>
  <si>
    <t>Polystyrène expansé alimentaire</t>
  </si>
  <si>
    <t>Polystyrène expansé de protection</t>
  </si>
  <si>
    <t>Acier TOTAL</t>
  </si>
  <si>
    <t>Coût - Frais admin</t>
  </si>
  <si>
    <t>Coût - Facteur 1</t>
  </si>
  <si>
    <t>Coût - Facteur 2</t>
  </si>
  <si>
    <t>Coût - Facteur 3</t>
  </si>
  <si>
    <t>Coût - Crédit</t>
  </si>
  <si>
    <t>Ordre</t>
  </si>
  <si>
    <t>Quantité éliminée (t)</t>
  </si>
  <si>
    <t>% Quantité contenu recyclé</t>
  </si>
  <si>
    <t>Quantité attendue net (kg)</t>
  </si>
  <si>
    <t>% déduction des matières autres</t>
  </si>
  <si>
    <t>Coûts nets après déduction matiètres autres</t>
  </si>
  <si>
    <t>Frais d'opération ÉEQ</t>
  </si>
  <si>
    <t>Total Frais d'opération ÉEQ</t>
  </si>
  <si>
    <t>Taux récupération</t>
  </si>
  <si>
    <t>Déclaration manquante</t>
  </si>
  <si>
    <t>Pénalité</t>
  </si>
  <si>
    <t>Anticipation Tarif fixe</t>
  </si>
  <si>
    <t xml:space="preserve">Quantité générée
(tonnes) </t>
  </si>
  <si>
    <t xml:space="preserve">Quantité récupérée
(tonnes) </t>
  </si>
  <si>
    <t xml:space="preserve">Quantité éliminée
(tonnes) </t>
  </si>
  <si>
    <t>Quantité déclarée
(tonnes)</t>
  </si>
  <si>
    <t>Nombre de déclarations</t>
  </si>
  <si>
    <t>Fonds de stabilité</t>
  </si>
  <si>
    <t>TARIFICATION</t>
  </si>
  <si>
    <t>Quantités</t>
  </si>
  <si>
    <t>Total Indemnité RQ &amp; Frais de gestion 
($)</t>
  </si>
  <si>
    <t>Quantité déclarée 
(tonnes)</t>
  </si>
  <si>
    <t>Taux de récupération
(%)</t>
  </si>
  <si>
    <t>Coût net / tonne
(ACA)
($/tonne)</t>
  </si>
  <si>
    <t>Coûts nets à compenser</t>
  </si>
  <si>
    <t>Coût brut ($/t)</t>
  </si>
  <si>
    <t>Revenu brut ($/t)</t>
  </si>
  <si>
    <t>Frais d'études spécifiques ($)</t>
  </si>
  <si>
    <t>Coût brut
(ACA)
($/tonne)</t>
  </si>
  <si>
    <t>Coût net
($/tonne)</t>
  </si>
  <si>
    <t>Revenu brut
(ACA)
($/tonne)</t>
  </si>
  <si>
    <t>Coût net total
($)</t>
  </si>
  <si>
    <t>Bombes aérosol en acier</t>
  </si>
  <si>
    <t>Contenants pour aliments et breuvages en aluminium</t>
  </si>
  <si>
    <t>Sacs d'emplettes de pellicules HDPE et LDPE</t>
  </si>
  <si>
    <t>Calcul</t>
  </si>
  <si>
    <t>* inclut avec les polystyrènes</t>
  </si>
  <si>
    <t>* inclut avec les Bouteilles PET</t>
  </si>
  <si>
    <t>CATÉGORIE</t>
  </si>
  <si>
    <t>Papier et carton</t>
  </si>
  <si>
    <t>Papier et carton TOTAL</t>
  </si>
  <si>
    <t>Estimation ÉEQ</t>
  </si>
  <si>
    <t>http://www.ecoentreprises.qc.ca/sinformer-et-declarer/tarifs-et-cadre-legal/tarifs/consultation-des-entreprises-sur-le-tarif</t>
  </si>
  <si>
    <t>Fonds de risque et de stabilisation des taux</t>
  </si>
  <si>
    <t>Déclarations anticipées</t>
  </si>
  <si>
    <t>Coûts nets totaux (incluant provision, fonds de risque et Frais RQ)
($)</t>
  </si>
  <si>
    <t>Version</t>
  </si>
  <si>
    <t>ACA Québécoise 2016</t>
  </si>
  <si>
    <t>PVC, acide polylactique (PLA) et autres plastiques dégradables</t>
  </si>
  <si>
    <t>Taux 2018
($/tonne)</t>
  </si>
  <si>
    <t>Année civile de référence</t>
  </si>
  <si>
    <t>Provision pour crédit contenu recyclé</t>
  </si>
  <si>
    <t>Montant pour projet</t>
  </si>
  <si>
    <t>Caractérisation des matières résiduelles du secteur résidentiel 2015-17</t>
  </si>
  <si>
    <t>Taux 2019
($/tonne)</t>
  </si>
  <si>
    <r>
      <t>Tonnage sans crédit 
(utilisé pour calcul)</t>
    </r>
    <r>
      <rPr>
        <b/>
        <sz val="11"/>
        <color theme="1"/>
        <rFont val="Arial"/>
        <family val="2"/>
      </rPr>
      <t xml:space="preserve">
(tonnes)</t>
    </r>
  </si>
  <si>
    <t>Projet de Tarif</t>
  </si>
  <si>
    <r>
      <t>Montant total du crédit accordé  
(utilisé dans le calcul)</t>
    </r>
    <r>
      <rPr>
        <b/>
        <sz val="11"/>
        <color theme="1"/>
        <rFont val="Arial"/>
        <family val="2"/>
      </rPr>
      <t xml:space="preserve">
($)</t>
    </r>
  </si>
  <si>
    <r>
      <t>Tonnage avec crédit
(utilisé pour calcul)</t>
    </r>
    <r>
      <rPr>
        <b/>
        <sz val="11"/>
        <color theme="1"/>
        <rFont val="Arial"/>
        <family val="2"/>
      </rPr>
      <t xml:space="preserve">  
(tonnes)</t>
    </r>
  </si>
  <si>
    <t>Réel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</si>
</sst>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0\ &quot;$&quot;_);\(#,##0\ &quot;$&quot;\)"/>
    <numFmt numFmtId="7" formatCode="#,##0.00\ &quot;$&quot;_);\(#,##0.00\ &quot;$&quot;\)"/>
    <numFmt numFmtId="44" formatCode="_ * #,##0.00_)\ &quot;$&quot;_ ;_ * \(#,##0.00\)\ &quot;$&quot;_ ;_ * &quot;-&quot;??_)\ &quot;$&quot;_ ;_ @_ "/>
    <numFmt numFmtId="43" formatCode="_ * #,##0.00_)\ _$_ ;_ * \(#,##0.00\)\ _$_ ;_ * &quot;-&quot;??_)\ _$_ ;_ @_ "/>
    <numFmt numFmtId="164" formatCode="_-&quot;$&quot;* #,##0.00_-;\-&quot;$&quot;* #,##0.00_-;_-&quot;$&quot;* &quot;-&quot;??_-;_-@_-"/>
    <numFmt numFmtId="165" formatCode="_-* #,##0.00_-;\-* #,##0.00_-;_-* &quot;-&quot;??_-;_-@_-"/>
    <numFmt numFmtId="166" formatCode="_ * #,##0.00_ \ [$$-C0C]_ ;_ * \-#,##0.00\ \ [$$-C0C]_ ;_ * &quot;-&quot;??_ \ [$$-C0C]_ ;_ @_ "/>
    <numFmt numFmtId="167" formatCode="0.0%"/>
    <numFmt numFmtId="168" formatCode="_-* #,##0_-;\-* #,##0_-;_-* &quot;-&quot;??_-;_-@_-"/>
    <numFmt numFmtId="169" formatCode="#,##0.00\ [$$-C0C]"/>
    <numFmt numFmtId="170" formatCode="#,##0.00\ &quot;$&quot;&quot;/t&quot;"/>
    <numFmt numFmtId="171" formatCode="#,##0.00\ &quot;$&quot;"/>
    <numFmt numFmtId="172" formatCode="_ * #,##0.00_)\ [$€-1]_ ;_ * \(#,##0.00\)\ [$€-1]_ ;_ * &quot;-&quot;??_)\ [$€-1]_ "/>
    <numFmt numFmtId="173" formatCode="_(* #,##0.00_);_(* \(#,##0.00\);_(* &quot;-&quot;??_);_(@_)"/>
    <numFmt numFmtId="174" formatCode="#,##0_);[Red]\(#,##0\);\-_)"/>
    <numFmt numFmtId="175" formatCode="#,##0_ ;[Red]\-#,##0\ "/>
    <numFmt numFmtId="176" formatCode="0.0000%"/>
    <numFmt numFmtId="177" formatCode="m/d/yy\ h:mm:ss"/>
    <numFmt numFmtId="178" formatCode="_ * #,##0.00_)\ [$$-C0C]_ ;_ * \(#,##0.00\)\ [$$-C0C]_ ;_ * &quot;-&quot;??_)\ [$$-C0C]_ ;_ @_ "/>
    <numFmt numFmtId="179" formatCode="_ * #,##0_ \ [$$-C0C]_ ;_ * \-#,##0\ \ [$$-C0C]_ ;_ * &quot;-&quot;??_ \ [$$-C0C]_ ;_ @_ "/>
    <numFmt numFmtId="180" formatCode="_ * #,##0_)\ [$$-C0C]_ ;_ * \(#,##0\)\ [$$-C0C]_ ;_ * &quot;-&quot;??_)\ [$$-C0C]_ ;_ @_ "/>
    <numFmt numFmtId="181" formatCode="_-&quot;$&quot;* #,##0_-;\-&quot;$&quot;* #,##0_-;_-&quot;$&quot;* &quot;-&quot;??_-;_-@_-"/>
    <numFmt numFmtId="182" formatCode="#,##0\ [$$-C0C]"/>
    <numFmt numFmtId="183" formatCode="0.0"/>
    <numFmt numFmtId="184" formatCode="_ * #,##0_)\ &quot;$&quot;_ ;_ * \(#,##0\)\ &quot;$&quot;_ ;_ * &quot;-&quot;??_)\ &quot;$&quot;_ ;_ @_ "/>
    <numFmt numFmtId="185" formatCode="#,##0\ [$$-C0C]_);\(#,##0\ [$$-C0C]\)"/>
    <numFmt numFmtId="186" formatCode="_ * #,##0.000000000_)\ _$_ ;_ * \(#,##0.000000000\)\ _$_ ;_ * &quot;-&quot;??_)\ _$_ ;_ @_ "/>
  </numFmts>
  <fonts count="79">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sz val="11"/>
      <color rgb="FF0070C0"/>
      <name val="Arial"/>
      <family val="2"/>
    </font>
    <font>
      <sz val="11"/>
      <name val="Arial"/>
      <family val="2"/>
    </font>
    <font>
      <b/>
      <sz val="11"/>
      <name val="Arial"/>
      <family val="2"/>
    </font>
    <font>
      <sz val="11"/>
      <name val="Calibri"/>
      <family val="2"/>
      <scheme val="minor"/>
    </font>
    <font>
      <b/>
      <sz val="12"/>
      <name val="Arial"/>
      <family val="2"/>
    </font>
    <font>
      <sz val="11"/>
      <color indexed="8"/>
      <name val="Arial"/>
      <family val="2"/>
    </font>
    <font>
      <sz val="11"/>
      <color indexed="8"/>
      <name val="Calibri"/>
      <family val="2"/>
    </font>
    <font>
      <b/>
      <sz val="11"/>
      <color indexed="8"/>
      <name val="Arial"/>
      <family val="2"/>
    </font>
    <font>
      <u/>
      <sz val="11"/>
      <color indexed="12"/>
      <name val="Calibri"/>
      <family val="2"/>
    </font>
    <font>
      <sz val="11"/>
      <color theme="0"/>
      <name val="Arial"/>
      <family val="2"/>
    </font>
    <font>
      <b/>
      <sz val="14"/>
      <color theme="1"/>
      <name val="Arial"/>
      <family val="2"/>
    </font>
    <font>
      <sz val="14"/>
      <name val="Arial"/>
      <family val="2"/>
    </font>
    <font>
      <b/>
      <sz val="11"/>
      <color rgb="FF0070C0"/>
      <name val="Arial"/>
      <family val="2"/>
    </font>
    <font>
      <b/>
      <sz val="10"/>
      <name val="Arial"/>
      <family val="2"/>
    </font>
    <font>
      <u/>
      <sz val="10"/>
      <color indexed="12"/>
      <name val="Arial"/>
      <family val="2"/>
    </font>
    <font>
      <u/>
      <sz val="11"/>
      <color rgb="FF0000F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0"/>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indexed="8"/>
      <name val="Arial"/>
      <family val="2"/>
    </font>
    <font>
      <sz val="11"/>
      <color indexed="9"/>
      <name val="Arial"/>
      <family val="2"/>
    </font>
    <font>
      <sz val="10"/>
      <color indexed="9"/>
      <name val="Arial"/>
      <family val="2"/>
    </font>
    <font>
      <sz val="11"/>
      <color indexed="20"/>
      <name val="Arial"/>
      <family val="2"/>
    </font>
    <font>
      <sz val="10"/>
      <color indexed="20"/>
      <name val="Arial"/>
      <family val="2"/>
    </font>
    <font>
      <b/>
      <sz val="11"/>
      <color indexed="52"/>
      <name val="Arial"/>
      <family val="2"/>
    </font>
    <font>
      <b/>
      <sz val="11"/>
      <color indexed="9"/>
      <name val="Arial"/>
      <family val="2"/>
    </font>
    <font>
      <i/>
      <sz val="11"/>
      <color indexed="23"/>
      <name val="Arial"/>
      <family val="2"/>
    </font>
    <font>
      <i/>
      <sz val="10"/>
      <color indexed="23"/>
      <name val="Arial"/>
      <family val="2"/>
    </font>
    <font>
      <sz val="11"/>
      <color indexed="17"/>
      <name val="Arial"/>
      <family val="2"/>
    </font>
    <font>
      <sz val="10"/>
      <color indexed="17"/>
      <name val="Arial"/>
      <family val="2"/>
    </font>
    <font>
      <b/>
      <sz val="15"/>
      <color indexed="62"/>
      <name val="Calibri"/>
      <family val="2"/>
    </font>
    <font>
      <b/>
      <sz val="13"/>
      <color indexed="62"/>
      <name val="Calibri"/>
      <family val="2"/>
    </font>
    <font>
      <b/>
      <sz val="11"/>
      <color indexed="62"/>
      <name val="Calibri"/>
      <family val="2"/>
    </font>
    <font>
      <b/>
      <sz val="10"/>
      <name val="Univers"/>
      <family val="2"/>
    </font>
    <font>
      <sz val="11"/>
      <color indexed="62"/>
      <name val="Arial"/>
      <family val="2"/>
    </font>
    <font>
      <b/>
      <sz val="10"/>
      <color indexed="12"/>
      <name val="Arial"/>
      <family val="2"/>
    </font>
    <font>
      <sz val="11"/>
      <color indexed="52"/>
      <name val="Arial"/>
      <family val="2"/>
    </font>
    <font>
      <sz val="11"/>
      <color indexed="60"/>
      <name val="Arial"/>
      <family val="2"/>
    </font>
    <font>
      <sz val="10"/>
      <color indexed="60"/>
      <name val="Arial"/>
      <family val="2"/>
    </font>
    <font>
      <b/>
      <sz val="11"/>
      <color indexed="63"/>
      <name val="Arial"/>
      <family val="2"/>
    </font>
    <font>
      <i/>
      <sz val="10"/>
      <name val="Arial"/>
      <family val="2"/>
    </font>
    <font>
      <b/>
      <sz val="9"/>
      <name val="Arial"/>
      <family val="2"/>
    </font>
    <font>
      <sz val="18"/>
      <name val="Arial"/>
      <family val="2"/>
    </font>
    <font>
      <b/>
      <sz val="18"/>
      <color indexed="62"/>
      <name val="Cambria"/>
      <family val="2"/>
    </font>
    <font>
      <sz val="11"/>
      <color indexed="10"/>
      <name val="Arial"/>
      <family val="2"/>
    </font>
    <font>
      <sz val="10"/>
      <color indexed="10"/>
      <name val="Arial"/>
      <family val="2"/>
    </font>
    <font>
      <b/>
      <vertAlign val="superscript"/>
      <sz val="11"/>
      <color theme="1"/>
      <name val="Arial"/>
      <family val="2"/>
    </font>
    <font>
      <vertAlign val="superscript"/>
      <sz val="11"/>
      <color theme="1"/>
      <name val="Arial"/>
      <family val="2"/>
    </font>
    <font>
      <i/>
      <sz val="11"/>
      <color theme="1"/>
      <name val="Arial"/>
      <family val="2"/>
    </font>
    <font>
      <u/>
      <sz val="11"/>
      <color theme="10"/>
      <name val="Calibri"/>
      <family val="2"/>
      <scheme val="minor"/>
    </font>
    <font>
      <sz val="11"/>
      <color theme="3" tint="0.39997558519241921"/>
      <name val="Arial"/>
      <family val="2"/>
    </font>
    <font>
      <b/>
      <sz val="12"/>
      <color theme="1"/>
      <name val="Arial"/>
      <family val="2"/>
    </font>
    <font>
      <b/>
      <sz val="11"/>
      <color theme="1"/>
      <name val="Calibri"/>
      <family val="2"/>
      <scheme val="minor"/>
    </font>
  </fonts>
  <fills count="51">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darkUp">
        <fgColor theme="0" tint="-4.9989318521683403E-2"/>
        <bgColor theme="0" tint="-0.14996795556505021"/>
      </patternFill>
    </fill>
    <fill>
      <patternFill patternType="solid">
        <fgColor theme="6" tint="0.79998168889431442"/>
        <bgColor indexed="64"/>
      </patternFill>
    </fill>
    <fill>
      <patternFill patternType="solid">
        <fgColor theme="5" tint="0.79998168889431442"/>
        <bgColor indexed="64"/>
      </patternFill>
    </fill>
    <fill>
      <patternFill patternType="lightGray">
        <fgColor theme="4" tint="0.79998168889431442"/>
        <bgColor theme="0"/>
      </patternFill>
    </fill>
    <fill>
      <patternFill patternType="lightGray">
        <fgColor theme="5" tint="0.79998168889431442"/>
        <bgColor theme="0"/>
      </patternFill>
    </fill>
    <fill>
      <patternFill patternType="solid">
        <fgColor theme="2"/>
        <bgColor theme="5" tint="0.79998168889431442"/>
      </patternFill>
    </fill>
    <fill>
      <patternFill patternType="lightGray">
        <fgColor theme="6" tint="0.79998168889431442"/>
        <bgColor theme="0"/>
      </patternFill>
    </fill>
    <fill>
      <patternFill patternType="lightGray">
        <fgColor theme="6" tint="0.79995117038483843"/>
        <bgColor theme="0"/>
      </patternFill>
    </fill>
    <fill>
      <patternFill patternType="solid">
        <fgColor theme="0"/>
        <bgColor theme="6" tint="0.79998168889431442"/>
      </patternFill>
    </fill>
    <fill>
      <patternFill patternType="solid">
        <fgColor theme="0"/>
        <bgColor theme="5" tint="0.79998168889431442"/>
      </patternFill>
    </fill>
    <fill>
      <patternFill patternType="solid">
        <fgColor theme="2" tint="-0.249977111117893"/>
        <bgColor indexed="64"/>
      </patternFill>
    </fill>
    <fill>
      <patternFill patternType="solid">
        <fgColor indexed="9"/>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indexed="1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4" tint="0.59999389629810485"/>
        <bgColor indexed="64"/>
      </patternFill>
    </fill>
  </fills>
  <borders count="113">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49"/>
      </top>
      <bottom style="double">
        <color indexed="49"/>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top style="thin">
        <color theme="0" tint="-0.249977111117893"/>
      </top>
      <bottom/>
      <diagonal/>
    </border>
    <border>
      <left style="thin">
        <color indexed="64"/>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1248">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13" fillId="0" borderId="0" applyNumberFormat="0" applyFill="0" applyBorder="0" applyAlignment="0" applyProtection="0"/>
    <xf numFmtId="0" fontId="2" fillId="0" borderId="0"/>
    <xf numFmtId="172" fontId="2" fillId="0" borderId="0" applyFont="0" applyFill="0" applyBorder="0" applyAlignment="0" applyProtection="0"/>
    <xf numFmtId="0" fontId="19"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40" fontId="21" fillId="20" borderId="0">
      <alignment horizontal="right"/>
    </xf>
    <xf numFmtId="0" fontId="22" fillId="20" borderId="0">
      <alignment horizontal="right"/>
    </xf>
    <xf numFmtId="0" fontId="23" fillId="20" borderId="7"/>
    <xf numFmtId="0" fontId="23" fillId="0" borderId="0" applyBorder="0">
      <alignment horizontal="centerContinuous"/>
    </xf>
    <xf numFmtId="0" fontId="24" fillId="0" borderId="0" applyBorder="0">
      <alignment horizontal="centerContinuous"/>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1" fillId="0" borderId="0" applyFont="0" applyFill="0" applyBorder="0" applyAlignment="0" applyProtection="0"/>
    <xf numFmtId="174" fontId="2" fillId="0" borderId="0" applyBorder="0"/>
    <xf numFmtId="174" fontId="18" fillId="0" borderId="22" applyNumberFormat="0" applyFill="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9" fillId="40" borderId="41" applyNumberFormat="0" applyAlignment="0" applyProtection="0"/>
    <xf numFmtId="0" fontId="30" fillId="41" borderId="42" applyNumberFormat="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3" fillId="24" borderId="0" applyNumberFormat="0" applyBorder="0" applyAlignment="0" applyProtection="0"/>
    <xf numFmtId="0" fontId="34" fillId="0" borderId="43"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36" fillId="0" borderId="0" applyNumberFormat="0" applyFill="0" applyBorder="0" applyAlignment="0" applyProtection="0"/>
    <xf numFmtId="0" fontId="32" fillId="0" borderId="0" applyNumberFormat="0" applyFill="0" applyBorder="0" applyAlignment="0" applyProtection="0">
      <alignment vertical="top"/>
      <protection locked="0"/>
    </xf>
    <xf numFmtId="0" fontId="37" fillId="27" borderId="41" applyNumberFormat="0" applyAlignment="0" applyProtection="0"/>
    <xf numFmtId="0" fontId="38" fillId="0" borderId="46" applyNumberFormat="0" applyFill="0" applyAlignment="0" applyProtection="0"/>
    <xf numFmtId="0" fontId="39" fillId="42" borderId="0" applyNumberFormat="0" applyBorder="0" applyAlignment="0" applyProtection="0"/>
    <xf numFmtId="0" fontId="2" fillId="43" borderId="47" applyNumberFormat="0" applyFont="0" applyAlignment="0" applyProtection="0"/>
    <xf numFmtId="0" fontId="40" fillId="40" borderId="48" applyNumberFormat="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0" applyNumberFormat="0" applyFill="0" applyBorder="0" applyAlignment="0" applyProtection="0"/>
    <xf numFmtId="43" fontId="2" fillId="0" borderId="0" applyFont="0" applyFill="0" applyBorder="0" applyAlignment="0" applyProtection="0"/>
    <xf numFmtId="0" fontId="2" fillId="0" borderId="0"/>
    <xf numFmtId="174" fontId="2" fillId="0" borderId="0" applyBorder="0"/>
    <xf numFmtId="174" fontId="18" fillId="0" borderId="22" applyNumberFormat="0" applyFill="0" applyAlignment="0" applyProtection="0"/>
    <xf numFmtId="0" fontId="2" fillId="43" borderId="47" applyNumberFormat="0" applyFont="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2" fillId="0" borderId="0" applyFont="0" applyFill="0" applyBorder="0" applyAlignment="0" applyProtection="0"/>
    <xf numFmtId="0" fontId="44" fillId="0" borderId="0" applyNumberFormat="0" applyFill="0" applyBorder="0" applyAlignment="0" applyProtection="0"/>
    <xf numFmtId="165" fontId="2" fillId="0" borderId="0" applyFont="0" applyFill="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2"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3"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4"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5" fillId="26"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7"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0"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5" fillId="28"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46"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29"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46"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30"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4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46"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46"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23" borderId="0" applyNumberFormat="0" applyBorder="0" applyAlignment="0" applyProtection="0"/>
    <xf numFmtId="0" fontId="29"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173"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5" fillId="24" borderId="0" applyNumberFormat="0" applyBorder="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59" fillId="46" borderId="0"/>
    <xf numFmtId="0" fontId="32" fillId="0" borderId="0" applyNumberFormat="0" applyFill="0" applyBorder="0" applyAlignment="0" applyProtection="0">
      <alignment vertical="top"/>
      <protection locked="0"/>
    </xf>
    <xf numFmtId="0" fontId="37"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175" fontId="61" fillId="0" borderId="0" applyNumberFormat="0" applyAlignment="0"/>
    <xf numFmtId="175" fontId="18" fillId="0" borderId="0">
      <alignment horizontal="right"/>
    </xf>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4" fillId="42" borderId="0" applyNumberFormat="0" applyBorder="0" applyAlignment="0" applyProtection="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40"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23" fillId="20" borderId="7"/>
    <xf numFmtId="0" fontId="23" fillId="20" borderId="7"/>
    <xf numFmtId="0" fontId="23" fillId="20" borderId="7"/>
    <xf numFmtId="0" fontId="40" fillId="40" borderId="4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2">
      <alignment horizontal="center"/>
    </xf>
    <xf numFmtId="0" fontId="26" fillId="0" borderId="2">
      <alignment horizontal="center"/>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45" fillId="0" borderId="0" applyNumberFormat="0" applyFill="0" applyBorder="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Protection="0">
      <alignment horizontal="left"/>
    </xf>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165" fontId="2" fillId="0" borderId="0" applyFont="0" applyFill="0" applyBorder="0" applyAlignment="0" applyProtection="0"/>
    <xf numFmtId="0" fontId="1" fillId="0" borderId="0"/>
    <xf numFmtId="0" fontId="44"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75" fillId="0" borderId="0" applyNumberFormat="0" applyFill="0" applyBorder="0" applyAlignment="0" applyProtection="0"/>
  </cellStyleXfs>
  <cellXfs count="669">
    <xf numFmtId="0" fontId="0" fillId="0" borderId="0" xfId="0"/>
    <xf numFmtId="0" fontId="3" fillId="0" borderId="0" xfId="0" applyFont="1"/>
    <xf numFmtId="0" fontId="2" fillId="3" borderId="0" xfId="0" applyFont="1" applyFill="1"/>
    <xf numFmtId="0" fontId="3" fillId="3" borderId="0" xfId="0" applyFont="1" applyFill="1"/>
    <xf numFmtId="0" fontId="4" fillId="3" borderId="2" xfId="0" applyFont="1" applyFill="1" applyBorder="1"/>
    <xf numFmtId="0" fontId="3" fillId="3" borderId="2" xfId="0" applyFont="1" applyFill="1" applyBorder="1"/>
    <xf numFmtId="0" fontId="4" fillId="3" borderId="0" xfId="0" applyFont="1" applyFill="1" applyBorder="1"/>
    <xf numFmtId="0" fontId="3" fillId="3" borderId="0" xfId="0" applyFont="1" applyFill="1" applyBorder="1"/>
    <xf numFmtId="0" fontId="3" fillId="3" borderId="7" xfId="0" applyFont="1" applyFill="1" applyBorder="1"/>
    <xf numFmtId="0" fontId="4" fillId="4" borderId="13" xfId="0" applyFont="1" applyFill="1" applyBorder="1"/>
    <xf numFmtId="0" fontId="4" fillId="5" borderId="13" xfId="0" applyFont="1" applyFill="1" applyBorder="1"/>
    <xf numFmtId="0" fontId="3" fillId="5" borderId="13" xfId="0" applyFont="1" applyFill="1" applyBorder="1"/>
    <xf numFmtId="0" fontId="3" fillId="3" borderId="11" xfId="0" applyFont="1" applyFill="1" applyBorder="1"/>
    <xf numFmtId="0" fontId="4" fillId="3" borderId="17" xfId="0" applyFont="1" applyFill="1" applyBorder="1"/>
    <xf numFmtId="0" fontId="4" fillId="5" borderId="14" xfId="0" applyFont="1" applyFill="1" applyBorder="1"/>
    <xf numFmtId="0" fontId="3" fillId="5" borderId="14" xfId="0" applyFont="1" applyFill="1" applyBorder="1"/>
    <xf numFmtId="0" fontId="0" fillId="3" borderId="0" xfId="0" applyFill="1"/>
    <xf numFmtId="9" fontId="3" fillId="3" borderId="0" xfId="2" applyFont="1" applyFill="1" applyBorder="1"/>
    <xf numFmtId="0" fontId="4" fillId="4" borderId="15" xfId="0" applyFont="1" applyFill="1" applyBorder="1"/>
    <xf numFmtId="0" fontId="4" fillId="3" borderId="8" xfId="0" applyFont="1" applyFill="1" applyBorder="1"/>
    <xf numFmtId="0" fontId="4" fillId="5" borderId="12" xfId="0" applyFont="1" applyFill="1" applyBorder="1"/>
    <xf numFmtId="168" fontId="4" fillId="5" borderId="12" xfId="3" applyNumberFormat="1" applyFont="1" applyFill="1" applyBorder="1"/>
    <xf numFmtId="168" fontId="4" fillId="5" borderId="13" xfId="3" applyNumberFormat="1" applyFont="1" applyFill="1" applyBorder="1"/>
    <xf numFmtId="0" fontId="4" fillId="5" borderId="2" xfId="0" applyFont="1" applyFill="1" applyBorder="1"/>
    <xf numFmtId="168" fontId="4" fillId="5" borderId="13" xfId="0" applyNumberFormat="1" applyFont="1" applyFill="1" applyBorder="1"/>
    <xf numFmtId="168" fontId="4" fillId="5" borderId="14" xfId="0" applyNumberFormat="1" applyFont="1" applyFill="1" applyBorder="1"/>
    <xf numFmtId="168" fontId="3" fillId="3" borderId="0" xfId="3" applyNumberFormat="1" applyFont="1" applyFill="1"/>
    <xf numFmtId="168" fontId="4" fillId="5" borderId="12" xfId="0" applyNumberFormat="1" applyFont="1" applyFill="1" applyBorder="1"/>
    <xf numFmtId="168" fontId="4" fillId="5" borderId="18" xfId="3" applyNumberFormat="1" applyFont="1" applyFill="1" applyBorder="1"/>
    <xf numFmtId="168" fontId="4" fillId="5" borderId="15" xfId="3" applyNumberFormat="1" applyFont="1" applyFill="1" applyBorder="1"/>
    <xf numFmtId="168" fontId="4" fillId="5" borderId="15" xfId="0" applyNumberFormat="1" applyFont="1" applyFill="1" applyBorder="1"/>
    <xf numFmtId="168" fontId="4" fillId="5" borderId="17" xfId="0" applyNumberFormat="1" applyFont="1" applyFill="1" applyBorder="1"/>
    <xf numFmtId="0" fontId="3" fillId="5" borderId="17" xfId="0" applyFont="1" applyFill="1" applyBorder="1"/>
    <xf numFmtId="0" fontId="3" fillId="5" borderId="28" xfId="0" applyFont="1" applyFill="1" applyBorder="1"/>
    <xf numFmtId="0" fontId="3" fillId="5" borderId="21" xfId="0" applyFont="1" applyFill="1" applyBorder="1"/>
    <xf numFmtId="0" fontId="3" fillId="3" borderId="0" xfId="0" applyFont="1" applyFill="1"/>
    <xf numFmtId="0" fontId="3" fillId="3" borderId="2" xfId="0" applyFont="1" applyFill="1" applyBorder="1"/>
    <xf numFmtId="0" fontId="3" fillId="3" borderId="0"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10" xfId="0" applyFont="1" applyFill="1" applyBorder="1"/>
    <xf numFmtId="0" fontId="4" fillId="4" borderId="21" xfId="0" applyFont="1" applyFill="1" applyBorder="1"/>
    <xf numFmtId="0" fontId="4" fillId="5" borderId="21" xfId="0" applyFont="1" applyFill="1" applyBorder="1"/>
    <xf numFmtId="0" fontId="4" fillId="4" borderId="13" xfId="0" applyFont="1" applyFill="1" applyBorder="1" applyAlignment="1">
      <alignment horizontal="center" wrapText="1"/>
    </xf>
    <xf numFmtId="0" fontId="3" fillId="5" borderId="15" xfId="0" applyFont="1" applyFill="1" applyBorder="1"/>
    <xf numFmtId="0" fontId="4" fillId="3" borderId="6" xfId="0" applyFont="1" applyFill="1" applyBorder="1"/>
    <xf numFmtId="0" fontId="4" fillId="4" borderId="15" xfId="0" applyFont="1" applyFill="1" applyBorder="1" applyAlignment="1">
      <alignment horizontal="center" wrapText="1"/>
    </xf>
    <xf numFmtId="168" fontId="3" fillId="3" borderId="7" xfId="3" applyNumberFormat="1" applyFont="1" applyFill="1" applyBorder="1"/>
    <xf numFmtId="0" fontId="3" fillId="5" borderId="9" xfId="0" applyFont="1" applyFill="1" applyBorder="1"/>
    <xf numFmtId="0" fontId="4" fillId="5" borderId="18" xfId="0" applyFont="1" applyFill="1" applyBorder="1"/>
    <xf numFmtId="0" fontId="4" fillId="5" borderId="15" xfId="0" applyFont="1" applyFill="1" applyBorder="1"/>
    <xf numFmtId="0" fontId="4" fillId="5" borderId="24" xfId="0" applyFont="1" applyFill="1" applyBorder="1"/>
    <xf numFmtId="0" fontId="4" fillId="5" borderId="17" xfId="0" applyFont="1" applyFill="1" applyBorder="1"/>
    <xf numFmtId="0" fontId="3" fillId="5" borderId="26" xfId="0" applyFont="1" applyFill="1" applyBorder="1"/>
    <xf numFmtId="0" fontId="4" fillId="5" borderId="29" xfId="0" applyFont="1" applyFill="1" applyBorder="1"/>
    <xf numFmtId="0" fontId="4" fillId="5" borderId="30" xfId="0" applyFont="1" applyFill="1" applyBorder="1"/>
    <xf numFmtId="0" fontId="4" fillId="5" borderId="28" xfId="0" applyFont="1" applyFill="1" applyBorder="1"/>
    <xf numFmtId="168" fontId="3" fillId="3" borderId="6" xfId="3" applyNumberFormat="1" applyFont="1" applyFill="1" applyBorder="1"/>
    <xf numFmtId="168" fontId="4" fillId="5" borderId="29" xfId="3" applyNumberFormat="1" applyFont="1" applyFill="1" applyBorder="1"/>
    <xf numFmtId="168" fontId="4" fillId="5" borderId="21" xfId="3" applyNumberFormat="1" applyFont="1" applyFill="1" applyBorder="1"/>
    <xf numFmtId="168" fontId="4" fillId="5" borderId="21" xfId="0" applyNumberFormat="1" applyFont="1" applyFill="1" applyBorder="1"/>
    <xf numFmtId="168" fontId="4" fillId="5" borderId="28" xfId="0" applyNumberFormat="1" applyFont="1" applyFill="1" applyBorder="1"/>
    <xf numFmtId="0" fontId="3" fillId="3" borderId="4" xfId="0" applyFont="1" applyFill="1" applyBorder="1"/>
    <xf numFmtId="9" fontId="3" fillId="3" borderId="26" xfId="2" applyFont="1" applyFill="1" applyBorder="1"/>
    <xf numFmtId="164" fontId="3" fillId="3" borderId="26" xfId="1" applyFont="1" applyFill="1" applyBorder="1"/>
    <xf numFmtId="9" fontId="3" fillId="3" borderId="6" xfId="2" applyFont="1" applyFill="1" applyBorder="1"/>
    <xf numFmtId="9" fontId="3" fillId="5" borderId="21" xfId="2" applyFont="1" applyFill="1" applyBorder="1"/>
    <xf numFmtId="0" fontId="4" fillId="7" borderId="13" xfId="0" applyFont="1" applyFill="1" applyBorder="1" applyAlignment="1">
      <alignment horizontal="right"/>
    </xf>
    <xf numFmtId="0" fontId="4" fillId="9" borderId="21" xfId="0" applyFont="1" applyFill="1" applyBorder="1" applyAlignment="1">
      <alignment horizontal="center" wrapText="1"/>
    </xf>
    <xf numFmtId="0" fontId="4" fillId="9" borderId="13" xfId="0" applyFont="1" applyFill="1" applyBorder="1" applyAlignment="1">
      <alignment horizontal="center" wrapText="1"/>
    </xf>
    <xf numFmtId="0" fontId="4" fillId="9" borderId="15" xfId="0" applyFont="1" applyFill="1" applyBorder="1" applyAlignment="1">
      <alignment horizontal="center" wrapText="1"/>
    </xf>
    <xf numFmtId="0" fontId="4" fillId="9" borderId="3" xfId="0" applyFont="1" applyFill="1" applyBorder="1" applyAlignment="1">
      <alignment horizontal="center" wrapText="1"/>
    </xf>
    <xf numFmtId="0" fontId="4" fillId="4" borderId="4" xfId="0" applyFont="1" applyFill="1" applyBorder="1" applyAlignment="1">
      <alignment horizontal="center" wrapText="1"/>
    </xf>
    <xf numFmtId="9" fontId="3" fillId="5" borderId="13" xfId="2" applyFont="1" applyFill="1" applyBorder="1"/>
    <xf numFmtId="167" fontId="3" fillId="5" borderId="13" xfId="2" applyNumberFormat="1" applyFont="1" applyFill="1" applyBorder="1"/>
    <xf numFmtId="0" fontId="4" fillId="5" borderId="13" xfId="0" applyFont="1" applyFill="1" applyBorder="1" applyAlignment="1">
      <alignment horizontal="center"/>
    </xf>
    <xf numFmtId="165" fontId="3" fillId="5" borderId="13" xfId="3" applyFont="1" applyFill="1" applyBorder="1"/>
    <xf numFmtId="0" fontId="4" fillId="5" borderId="21" xfId="0" applyFont="1" applyFill="1" applyBorder="1" applyAlignment="1">
      <alignment horizontal="center"/>
    </xf>
    <xf numFmtId="0" fontId="4" fillId="5" borderId="15" xfId="0" applyFont="1" applyFill="1" applyBorder="1" applyAlignment="1">
      <alignment horizontal="center"/>
    </xf>
    <xf numFmtId="164" fontId="4" fillId="5" borderId="14" xfId="1" applyFont="1" applyFill="1" applyBorder="1"/>
    <xf numFmtId="9" fontId="4" fillId="5" borderId="13" xfId="2" applyFont="1" applyFill="1" applyBorder="1"/>
    <xf numFmtId="0" fontId="14" fillId="3" borderId="0" xfId="0" applyFont="1" applyFill="1"/>
    <xf numFmtId="0" fontId="15" fillId="19" borderId="32" xfId="0" applyFont="1" applyFill="1" applyBorder="1"/>
    <xf numFmtId="0" fontId="15" fillId="3" borderId="33" xfId="0" applyFont="1" applyFill="1" applyBorder="1"/>
    <xf numFmtId="0" fontId="3" fillId="5" borderId="0" xfId="0" applyFont="1" applyFill="1" applyBorder="1"/>
    <xf numFmtId="0" fontId="3" fillId="4" borderId="13" xfId="0" applyFont="1" applyFill="1" applyBorder="1"/>
    <xf numFmtId="0" fontId="3" fillId="4" borderId="15" xfId="0" applyFont="1" applyFill="1" applyBorder="1"/>
    <xf numFmtId="0" fontId="3" fillId="5" borderId="7" xfId="0" applyFont="1" applyFill="1" applyBorder="1"/>
    <xf numFmtId="0" fontId="4" fillId="7" borderId="21" xfId="0" applyFont="1" applyFill="1" applyBorder="1"/>
    <xf numFmtId="0" fontId="3" fillId="5" borderId="6" xfId="0" applyFont="1" applyFill="1" applyBorder="1" applyAlignment="1">
      <alignment horizontal="left" indent="1"/>
    </xf>
    <xf numFmtId="0" fontId="3" fillId="5" borderId="8" xfId="0" applyFont="1" applyFill="1" applyBorder="1" applyAlignment="1">
      <alignment horizontal="left" indent="1"/>
    </xf>
    <xf numFmtId="10" fontId="3" fillId="5" borderId="15" xfId="2" applyNumberFormat="1" applyFont="1" applyFill="1" applyBorder="1"/>
    <xf numFmtId="10" fontId="3" fillId="5" borderId="21" xfId="2" applyNumberFormat="1" applyFont="1" applyFill="1" applyBorder="1"/>
    <xf numFmtId="0" fontId="3" fillId="3" borderId="0" xfId="0" applyFont="1" applyFill="1" applyBorder="1" applyAlignment="1"/>
    <xf numFmtId="169" fontId="3" fillId="3" borderId="6" xfId="1" applyNumberFormat="1" applyFont="1" applyFill="1" applyBorder="1"/>
    <xf numFmtId="169" fontId="3" fillId="3" borderId="0" xfId="1" applyNumberFormat="1" applyFont="1" applyFill="1" applyBorder="1"/>
    <xf numFmtId="169" fontId="3" fillId="3" borderId="7" xfId="1" applyNumberFormat="1" applyFont="1" applyFill="1" applyBorder="1"/>
    <xf numFmtId="169" fontId="4" fillId="5" borderId="29" xfId="1" applyNumberFormat="1" applyFont="1" applyFill="1" applyBorder="1"/>
    <xf numFmtId="169" fontId="4" fillId="5" borderId="18" xfId="1" applyNumberFormat="1" applyFont="1" applyFill="1" applyBorder="1"/>
    <xf numFmtId="169" fontId="3" fillId="5" borderId="21" xfId="1" applyNumberFormat="1" applyFont="1" applyFill="1" applyBorder="1"/>
    <xf numFmtId="169" fontId="3" fillId="5" borderId="13" xfId="1" applyNumberFormat="1" applyFont="1" applyFill="1" applyBorder="1"/>
    <xf numFmtId="169" fontId="3" fillId="5" borderId="15" xfId="1" applyNumberFormat="1" applyFont="1" applyFill="1" applyBorder="1"/>
    <xf numFmtId="169" fontId="4" fillId="5" borderId="21" xfId="1" applyNumberFormat="1" applyFont="1" applyFill="1" applyBorder="1"/>
    <xf numFmtId="169" fontId="4" fillId="5" borderId="15" xfId="1" applyNumberFormat="1" applyFont="1" applyFill="1" applyBorder="1"/>
    <xf numFmtId="169" fontId="4" fillId="5" borderId="21" xfId="0" applyNumberFormat="1" applyFont="1" applyFill="1" applyBorder="1"/>
    <xf numFmtId="169" fontId="4" fillId="5" borderId="30" xfId="0" applyNumberFormat="1" applyFont="1" applyFill="1" applyBorder="1"/>
    <xf numFmtId="169" fontId="3" fillId="3" borderId="6" xfId="0" applyNumberFormat="1" applyFont="1" applyFill="1" applyBorder="1"/>
    <xf numFmtId="169" fontId="3" fillId="3" borderId="0" xfId="0" applyNumberFormat="1" applyFont="1" applyFill="1" applyBorder="1"/>
    <xf numFmtId="169" fontId="4" fillId="5" borderId="28" xfId="0" applyNumberFormat="1" applyFont="1" applyFill="1" applyBorder="1"/>
    <xf numFmtId="169" fontId="3" fillId="4" borderId="13" xfId="0" applyNumberFormat="1" applyFont="1" applyFill="1" applyBorder="1"/>
    <xf numFmtId="169" fontId="3" fillId="5" borderId="0" xfId="0" applyNumberFormat="1" applyFont="1" applyFill="1" applyBorder="1"/>
    <xf numFmtId="169" fontId="3" fillId="5" borderId="26" xfId="0" applyNumberFormat="1" applyFont="1" applyFill="1" applyBorder="1"/>
    <xf numFmtId="169" fontId="4" fillId="5" borderId="29" xfId="2" applyNumberFormat="1" applyFont="1" applyFill="1" applyBorder="1"/>
    <xf numFmtId="169" fontId="4" fillId="5" borderId="12" xfId="2" applyNumberFormat="1" applyFont="1" applyFill="1" applyBorder="1"/>
    <xf numFmtId="169" fontId="3" fillId="5" borderId="21" xfId="2" applyNumberFormat="1" applyFont="1" applyFill="1" applyBorder="1"/>
    <xf numFmtId="169" fontId="3" fillId="5" borderId="13" xfId="2" applyNumberFormat="1" applyFont="1" applyFill="1" applyBorder="1"/>
    <xf numFmtId="169" fontId="4" fillId="5" borderId="13" xfId="2" applyNumberFormat="1" applyFont="1" applyFill="1" applyBorder="1"/>
    <xf numFmtId="169" fontId="4" fillId="5" borderId="21" xfId="2" applyNumberFormat="1" applyFont="1" applyFill="1" applyBorder="1"/>
    <xf numFmtId="169" fontId="3" fillId="3" borderId="8" xfId="2" applyNumberFormat="1" applyFont="1" applyFill="1" applyBorder="1"/>
    <xf numFmtId="169" fontId="3" fillId="3" borderId="26" xfId="2" applyNumberFormat="1" applyFont="1" applyFill="1" applyBorder="1"/>
    <xf numFmtId="169" fontId="4" fillId="5" borderId="28" xfId="2" applyNumberFormat="1" applyFont="1" applyFill="1" applyBorder="1"/>
    <xf numFmtId="169" fontId="4" fillId="5" borderId="14" xfId="2" applyNumberFormat="1" applyFont="1" applyFill="1" applyBorder="1"/>
    <xf numFmtId="165" fontId="3" fillId="5" borderId="21" xfId="3" applyFont="1" applyFill="1" applyBorder="1"/>
    <xf numFmtId="166" fontId="3" fillId="5" borderId="13" xfId="2" applyNumberFormat="1" applyFont="1" applyFill="1" applyBorder="1"/>
    <xf numFmtId="166" fontId="3" fillId="3" borderId="0" xfId="0" applyNumberFormat="1" applyFont="1" applyFill="1" applyBorder="1"/>
    <xf numFmtId="166" fontId="3" fillId="4" borderId="13" xfId="0" applyNumberFormat="1" applyFont="1" applyFill="1" applyBorder="1"/>
    <xf numFmtId="166" fontId="3" fillId="5" borderId="0" xfId="0" applyNumberFormat="1" applyFont="1" applyFill="1" applyBorder="1"/>
    <xf numFmtId="166" fontId="3" fillId="5" borderId="26" xfId="0" applyNumberFormat="1" applyFont="1" applyFill="1" applyBorder="1"/>
    <xf numFmtId="166" fontId="3" fillId="5" borderId="13" xfId="1" applyNumberFormat="1" applyFont="1" applyFill="1" applyBorder="1"/>
    <xf numFmtId="169" fontId="3" fillId="3" borderId="19" xfId="2" applyNumberFormat="1" applyFont="1" applyFill="1" applyBorder="1"/>
    <xf numFmtId="169" fontId="3" fillId="3" borderId="7" xfId="0" applyNumberFormat="1" applyFont="1" applyFill="1" applyBorder="1"/>
    <xf numFmtId="169" fontId="4" fillId="5" borderId="17" xfId="0" applyNumberFormat="1" applyFont="1" applyFill="1" applyBorder="1"/>
    <xf numFmtId="169" fontId="3" fillId="5" borderId="13" xfId="0" applyNumberFormat="1" applyFont="1" applyFill="1" applyBorder="1"/>
    <xf numFmtId="169" fontId="3" fillId="5" borderId="15" xfId="0" applyNumberFormat="1" applyFont="1" applyFill="1" applyBorder="1"/>
    <xf numFmtId="168" fontId="3" fillId="3" borderId="0" xfId="3" applyNumberFormat="1" applyFont="1" applyFill="1" applyBorder="1"/>
    <xf numFmtId="9" fontId="4" fillId="10" borderId="33" xfId="0" applyNumberFormat="1" applyFont="1" applyFill="1" applyBorder="1" applyAlignment="1">
      <alignment horizontal="center"/>
    </xf>
    <xf numFmtId="0" fontId="3" fillId="0" borderId="0" xfId="0" applyFont="1" applyFill="1"/>
    <xf numFmtId="168" fontId="4" fillId="5" borderId="29" xfId="0" applyNumberFormat="1" applyFont="1" applyFill="1" applyBorder="1"/>
    <xf numFmtId="168" fontId="4" fillId="5" borderId="18" xfId="0" applyNumberFormat="1" applyFont="1" applyFill="1" applyBorder="1"/>
    <xf numFmtId="9" fontId="4" fillId="8" borderId="32" xfId="0" applyNumberFormat="1" applyFont="1" applyFill="1" applyBorder="1" applyAlignment="1">
      <alignment horizontal="centerContinuous" wrapText="1"/>
    </xf>
    <xf numFmtId="9" fontId="4" fillId="8" borderId="34" xfId="0" applyNumberFormat="1" applyFont="1" applyFill="1" applyBorder="1" applyAlignment="1">
      <alignment horizontal="centerContinuous" wrapText="1"/>
    </xf>
    <xf numFmtId="9" fontId="4" fillId="11" borderId="32" xfId="0" applyNumberFormat="1" applyFont="1" applyFill="1" applyBorder="1" applyAlignment="1">
      <alignment horizontal="centerContinuous" wrapText="1"/>
    </xf>
    <xf numFmtId="0" fontId="4" fillId="11" borderId="34" xfId="0" applyFont="1" applyFill="1" applyBorder="1" applyAlignment="1">
      <alignment horizontal="centerContinuous" wrapText="1"/>
    </xf>
    <xf numFmtId="9" fontId="4" fillId="5" borderId="28" xfId="0" applyNumberFormat="1" applyFont="1" applyFill="1" applyBorder="1"/>
    <xf numFmtId="9" fontId="3" fillId="3" borderId="0" xfId="0" applyNumberFormat="1" applyFont="1" applyFill="1" applyBorder="1"/>
    <xf numFmtId="9" fontId="3" fillId="5" borderId="13" xfId="0" applyNumberFormat="1" applyFont="1" applyFill="1" applyBorder="1"/>
    <xf numFmtId="9" fontId="3" fillId="3" borderId="0" xfId="1" applyNumberFormat="1" applyFont="1" applyFill="1" applyBorder="1"/>
    <xf numFmtId="0" fontId="0" fillId="0" borderId="38" xfId="0" applyBorder="1"/>
    <xf numFmtId="0" fontId="0" fillId="0" borderId="2" xfId="0" applyBorder="1"/>
    <xf numFmtId="9" fontId="4" fillId="5" borderId="12" xfId="1" applyNumberFormat="1" applyFont="1" applyFill="1" applyBorder="1"/>
    <xf numFmtId="9" fontId="4" fillId="5" borderId="13" xfId="1" applyNumberFormat="1" applyFont="1" applyFill="1" applyBorder="1"/>
    <xf numFmtId="169" fontId="3" fillId="5" borderId="21" xfId="0" applyNumberFormat="1" applyFont="1" applyFill="1" applyBorder="1"/>
    <xf numFmtId="3" fontId="3" fillId="3" borderId="6" xfId="1" applyNumberFormat="1" applyFont="1" applyFill="1" applyBorder="1"/>
    <xf numFmtId="3" fontId="4" fillId="5" borderId="29" xfId="1" applyNumberFormat="1" applyFont="1" applyFill="1" applyBorder="1"/>
    <xf numFmtId="3" fontId="3" fillId="3" borderId="6" xfId="0" applyNumberFormat="1" applyFont="1" applyFill="1" applyBorder="1"/>
    <xf numFmtId="3" fontId="3" fillId="5" borderId="21" xfId="0" applyNumberFormat="1" applyFont="1" applyFill="1" applyBorder="1"/>
    <xf numFmtId="3" fontId="4" fillId="5" borderId="21" xfId="1" applyNumberFormat="1" applyFont="1" applyFill="1" applyBorder="1"/>
    <xf numFmtId="3" fontId="4" fillId="5" borderId="28" xfId="0" applyNumberFormat="1" applyFont="1" applyFill="1" applyBorder="1"/>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7" borderId="15" xfId="0" applyFont="1" applyFill="1" applyBorder="1" applyAlignment="1">
      <alignment horizontal="right"/>
    </xf>
    <xf numFmtId="9" fontId="4" fillId="10" borderId="32" xfId="0" applyNumberFormat="1" applyFont="1" applyFill="1" applyBorder="1" applyAlignment="1">
      <alignment horizontal="centerContinuous"/>
    </xf>
    <xf numFmtId="9" fontId="4" fillId="10" borderId="34" xfId="0" applyNumberFormat="1" applyFont="1" applyFill="1" applyBorder="1" applyAlignment="1">
      <alignment horizontal="centerContinuous"/>
    </xf>
    <xf numFmtId="0" fontId="3" fillId="3" borderId="23" xfId="0" applyFont="1" applyFill="1" applyBorder="1" applyAlignment="1"/>
    <xf numFmtId="0" fontId="9" fillId="6" borderId="31" xfId="7" applyFont="1" applyFill="1" applyBorder="1" applyAlignment="1" applyProtection="1">
      <alignment horizontal="center" vertical="center" wrapText="1"/>
    </xf>
    <xf numFmtId="3" fontId="3" fillId="3" borderId="0" xfId="1" applyNumberFormat="1" applyFont="1" applyFill="1" applyBorder="1"/>
    <xf numFmtId="3" fontId="4" fillId="5" borderId="12" xfId="1" applyNumberFormat="1" applyFont="1" applyFill="1" applyBorder="1"/>
    <xf numFmtId="3" fontId="3" fillId="3" borderId="0" xfId="0" applyNumberFormat="1" applyFont="1" applyFill="1" applyBorder="1"/>
    <xf numFmtId="3" fontId="3" fillId="5" borderId="13" xfId="0" applyNumberFormat="1" applyFont="1" applyFill="1" applyBorder="1"/>
    <xf numFmtId="3" fontId="4" fillId="5" borderId="13" xfId="1" applyNumberFormat="1" applyFont="1" applyFill="1" applyBorder="1"/>
    <xf numFmtId="3" fontId="4" fillId="5" borderId="14" xfId="0" applyNumberFormat="1" applyFont="1" applyFill="1" applyBorder="1"/>
    <xf numFmtId="0" fontId="0" fillId="3" borderId="2" xfId="0" applyFill="1" applyBorder="1"/>
    <xf numFmtId="9" fontId="4" fillId="5" borderId="2" xfId="2" applyFont="1" applyFill="1" applyBorder="1"/>
    <xf numFmtId="9" fontId="3" fillId="5" borderId="14" xfId="2" applyFont="1" applyFill="1" applyBorder="1"/>
    <xf numFmtId="0" fontId="4" fillId="4" borderId="21" xfId="0" applyFont="1" applyFill="1" applyBorder="1" applyAlignment="1">
      <alignment horizontal="center" vertical="center" wrapText="1"/>
    </xf>
    <xf numFmtId="10" fontId="3" fillId="5" borderId="13" xfId="2" applyNumberFormat="1" applyFont="1" applyFill="1" applyBorder="1"/>
    <xf numFmtId="168" fontId="3" fillId="3" borderId="26" xfId="3" applyNumberFormat="1" applyFont="1" applyFill="1" applyBorder="1"/>
    <xf numFmtId="9" fontId="4" fillId="8" borderId="32" xfId="0" applyNumberFormat="1" applyFont="1" applyFill="1" applyBorder="1" applyAlignment="1">
      <alignment horizontal="center" wrapText="1"/>
    </xf>
    <xf numFmtId="9" fontId="4" fillId="11" borderId="34" xfId="0" applyNumberFormat="1" applyFont="1" applyFill="1" applyBorder="1" applyAlignment="1">
      <alignment horizontal="centerContinuous" wrapText="1"/>
    </xf>
    <xf numFmtId="170" fontId="3" fillId="13" borderId="4" xfId="1" applyNumberFormat="1" applyFont="1" applyFill="1" applyBorder="1"/>
    <xf numFmtId="170" fontId="3" fillId="13" borderId="6" xfId="1" applyNumberFormat="1" applyFont="1" applyFill="1" applyBorder="1"/>
    <xf numFmtId="170" fontId="3" fillId="13" borderId="8" xfId="1" applyNumberFormat="1" applyFont="1" applyFill="1" applyBorder="1"/>
    <xf numFmtId="170" fontId="4" fillId="5" borderId="29" xfId="2" applyNumberFormat="1" applyFont="1" applyFill="1" applyBorder="1"/>
    <xf numFmtId="170" fontId="3" fillId="3" borderId="36" xfId="2" applyNumberFormat="1" applyFont="1" applyFill="1" applyBorder="1"/>
    <xf numFmtId="170" fontId="3" fillId="5" borderId="21" xfId="2" applyNumberFormat="1" applyFont="1" applyFill="1" applyBorder="1"/>
    <xf numFmtId="170" fontId="4" fillId="5" borderId="21" xfId="1" applyNumberFormat="1" applyFont="1" applyFill="1" applyBorder="1"/>
    <xf numFmtId="170" fontId="4" fillId="5" borderId="21" xfId="2" applyNumberFormat="1" applyFont="1" applyFill="1" applyBorder="1"/>
    <xf numFmtId="170" fontId="4" fillId="14" borderId="21" xfId="2" applyNumberFormat="1" applyFont="1" applyFill="1" applyBorder="1"/>
    <xf numFmtId="170" fontId="3" fillId="13" borderId="22" xfId="1" applyNumberFormat="1" applyFont="1" applyFill="1" applyBorder="1"/>
    <xf numFmtId="170" fontId="3" fillId="13" borderId="0" xfId="1" applyNumberFormat="1" applyFont="1" applyFill="1" applyBorder="1"/>
    <xf numFmtId="170" fontId="3" fillId="13" borderId="26" xfId="1" applyNumberFormat="1" applyFont="1" applyFill="1" applyBorder="1"/>
    <xf numFmtId="170" fontId="4" fillId="5" borderId="12" xfId="2" applyNumberFormat="1" applyFont="1" applyFill="1" applyBorder="1"/>
    <xf numFmtId="170" fontId="3" fillId="3" borderId="31" xfId="2" applyNumberFormat="1" applyFont="1" applyFill="1" applyBorder="1"/>
    <xf numFmtId="170" fontId="3" fillId="5" borderId="13" xfId="2" applyNumberFormat="1" applyFont="1" applyFill="1" applyBorder="1"/>
    <xf numFmtId="170" fontId="4" fillId="5" borderId="13" xfId="2" applyNumberFormat="1" applyFont="1" applyFill="1" applyBorder="1"/>
    <xf numFmtId="170" fontId="4" fillId="14" borderId="13" xfId="2" applyNumberFormat="1" applyFont="1" applyFill="1" applyBorder="1"/>
    <xf numFmtId="170" fontId="3" fillId="13" borderId="0" xfId="2" applyNumberFormat="1" applyFont="1" applyFill="1" applyBorder="1"/>
    <xf numFmtId="168" fontId="3" fillId="15" borderId="4" xfId="3" applyNumberFormat="1" applyFont="1" applyFill="1" applyBorder="1"/>
    <xf numFmtId="168" fontId="3" fillId="15" borderId="6" xfId="3" applyNumberFormat="1" applyFont="1" applyFill="1" applyBorder="1"/>
    <xf numFmtId="168" fontId="3" fillId="15" borderId="8" xfId="3" applyNumberFormat="1" applyFont="1" applyFill="1" applyBorder="1"/>
    <xf numFmtId="168" fontId="3" fillId="3" borderId="36" xfId="3" applyNumberFormat="1" applyFont="1" applyFill="1" applyBorder="1"/>
    <xf numFmtId="168" fontId="3" fillId="5" borderId="21" xfId="3" applyNumberFormat="1" applyFont="1" applyFill="1" applyBorder="1"/>
    <xf numFmtId="168" fontId="3" fillId="3" borderId="8" xfId="3" applyNumberFormat="1" applyFont="1" applyFill="1" applyBorder="1"/>
    <xf numFmtId="168" fontId="4" fillId="5" borderId="28" xfId="3" applyNumberFormat="1" applyFont="1" applyFill="1" applyBorder="1"/>
    <xf numFmtId="168" fontId="3" fillId="15" borderId="22" xfId="3" applyNumberFormat="1" applyFont="1" applyFill="1" applyBorder="1"/>
    <xf numFmtId="168" fontId="3" fillId="15" borderId="0" xfId="3" applyNumberFormat="1" applyFont="1" applyFill="1" applyBorder="1"/>
    <xf numFmtId="168" fontId="3" fillId="15" borderId="26" xfId="3" applyNumberFormat="1" applyFont="1" applyFill="1" applyBorder="1"/>
    <xf numFmtId="168" fontId="3" fillId="3" borderId="31" xfId="3" applyNumberFormat="1" applyFont="1" applyFill="1" applyBorder="1"/>
    <xf numFmtId="168" fontId="3" fillId="5" borderId="13" xfId="3" applyNumberFormat="1" applyFont="1" applyFill="1" applyBorder="1"/>
    <xf numFmtId="168" fontId="4" fillId="5" borderId="14" xfId="3" applyNumberFormat="1" applyFont="1" applyFill="1" applyBorder="1"/>
    <xf numFmtId="170" fontId="3" fillId="15" borderId="22" xfId="1" applyNumberFormat="1" applyFont="1" applyFill="1" applyBorder="1"/>
    <xf numFmtId="170" fontId="3" fillId="15" borderId="0" xfId="2" applyNumberFormat="1" applyFont="1" applyFill="1" applyBorder="1"/>
    <xf numFmtId="170" fontId="3" fillId="15" borderId="0" xfId="1" applyNumberFormat="1" applyFont="1" applyFill="1" applyBorder="1"/>
    <xf numFmtId="170" fontId="3" fillId="15" borderId="26" xfId="1" applyNumberFormat="1" applyFont="1" applyFill="1" applyBorder="1"/>
    <xf numFmtId="170" fontId="4" fillId="5" borderId="12" xfId="1" applyNumberFormat="1" applyFont="1" applyFill="1" applyBorder="1"/>
    <xf numFmtId="170" fontId="4" fillId="5" borderId="13" xfId="1" applyNumberFormat="1" applyFont="1" applyFill="1" applyBorder="1"/>
    <xf numFmtId="170" fontId="3" fillId="3" borderId="26" xfId="1" applyNumberFormat="1" applyFont="1" applyFill="1" applyBorder="1"/>
    <xf numFmtId="170" fontId="4" fillId="5" borderId="14" xfId="1" applyNumberFormat="1" applyFont="1" applyFill="1" applyBorder="1"/>
    <xf numFmtId="168" fontId="4" fillId="5" borderId="2" xfId="3" applyNumberFormat="1" applyFont="1" applyFill="1" applyBorder="1"/>
    <xf numFmtId="171" fontId="3" fillId="3" borderId="0" xfId="1" applyNumberFormat="1" applyFont="1" applyFill="1" applyBorder="1"/>
    <xf numFmtId="0" fontId="3" fillId="3" borderId="2" xfId="0" applyFont="1" applyFill="1" applyBorder="1" applyAlignment="1">
      <alignment horizontal="left"/>
    </xf>
    <xf numFmtId="0" fontId="3" fillId="3" borderId="0" xfId="0" applyFont="1" applyFill="1" applyAlignment="1">
      <alignment horizontal="left"/>
    </xf>
    <xf numFmtId="0" fontId="4" fillId="5" borderId="13" xfId="0" applyFont="1" applyFill="1" applyBorder="1" applyAlignment="1">
      <alignment horizontal="left"/>
    </xf>
    <xf numFmtId="0" fontId="4" fillId="5" borderId="12" xfId="0" applyFont="1" applyFill="1" applyBorder="1" applyAlignment="1">
      <alignment horizontal="left"/>
    </xf>
    <xf numFmtId="0" fontId="3" fillId="5" borderId="13" xfId="0" applyFont="1" applyFill="1" applyBorder="1" applyAlignment="1">
      <alignment horizontal="left"/>
    </xf>
    <xf numFmtId="0" fontId="4" fillId="5" borderId="2" xfId="0" applyFont="1" applyFill="1" applyBorder="1" applyAlignment="1">
      <alignment horizontal="left"/>
    </xf>
    <xf numFmtId="0" fontId="3" fillId="5" borderId="14" xfId="0" applyFont="1" applyFill="1" applyBorder="1" applyAlignment="1">
      <alignment horizontal="left"/>
    </xf>
    <xf numFmtId="0" fontId="3" fillId="3" borderId="0" xfId="0" applyFont="1" applyFill="1" applyBorder="1" applyAlignment="1">
      <alignment horizontal="left"/>
    </xf>
    <xf numFmtId="169" fontId="4" fillId="5" borderId="24" xfId="0" applyNumberFormat="1" applyFont="1" applyFill="1" applyBorder="1"/>
    <xf numFmtId="171" fontId="3" fillId="3" borderId="0" xfId="1" applyNumberFormat="1" applyFont="1" applyFill="1"/>
    <xf numFmtId="0" fontId="4" fillId="4" borderId="5" xfId="0" applyFont="1" applyFill="1" applyBorder="1" applyAlignment="1">
      <alignment horizontal="center" vertical="center" wrapText="1"/>
    </xf>
    <xf numFmtId="171" fontId="4" fillId="5" borderId="28" xfId="0" applyNumberFormat="1" applyFont="1" applyFill="1" applyBorder="1"/>
    <xf numFmtId="0" fontId="3" fillId="3" borderId="26" xfId="0" applyFont="1" applyFill="1" applyBorder="1"/>
    <xf numFmtId="0" fontId="4" fillId="3" borderId="2" xfId="0" applyFont="1" applyFill="1" applyBorder="1" applyAlignment="1">
      <alignment horizontal="left"/>
    </xf>
    <xf numFmtId="9" fontId="4" fillId="5" borderId="14" xfId="2" applyFont="1" applyFill="1" applyBorder="1"/>
    <xf numFmtId="0" fontId="15" fillId="3" borderId="33" xfId="0" applyFont="1" applyFill="1" applyBorder="1" applyAlignment="1">
      <alignment horizontal="right"/>
    </xf>
    <xf numFmtId="0" fontId="0" fillId="0" borderId="37" xfId="0" applyBorder="1"/>
    <xf numFmtId="0" fontId="0" fillId="3" borderId="0" xfId="0" applyFill="1" applyBorder="1"/>
    <xf numFmtId="0" fontId="0" fillId="0" borderId="0" xfId="0" applyBorder="1"/>
    <xf numFmtId="0" fontId="4" fillId="4" borderId="26" xfId="0" applyFont="1" applyFill="1" applyBorder="1" applyAlignment="1">
      <alignment horizontal="left" vertical="center" wrapText="1"/>
    </xf>
    <xf numFmtId="0" fontId="4" fillId="4" borderId="26"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3" fillId="3" borderId="0" xfId="0" applyFont="1" applyFill="1" applyAlignment="1">
      <alignment vertical="center"/>
    </xf>
    <xf numFmtId="0" fontId="4" fillId="4" borderId="4" xfId="0" applyFont="1" applyFill="1" applyBorder="1" applyAlignment="1">
      <alignment horizontal="center" vertical="center" wrapText="1"/>
    </xf>
    <xf numFmtId="168" fontId="4" fillId="3" borderId="40" xfId="3" applyNumberFormat="1" applyFont="1" applyFill="1" applyBorder="1"/>
    <xf numFmtId="168" fontId="4" fillId="3" borderId="40" xfId="0" applyNumberFormat="1" applyFont="1" applyFill="1" applyBorder="1"/>
    <xf numFmtId="0" fontId="5" fillId="3" borderId="0" xfId="0" applyFont="1" applyFill="1"/>
    <xf numFmtId="0" fontId="5" fillId="3" borderId="0" xfId="0" applyFont="1" applyFill="1" applyBorder="1"/>
    <xf numFmtId="0" fontId="3" fillId="3" borderId="6" xfId="0" applyFont="1" applyFill="1" applyBorder="1"/>
    <xf numFmtId="0" fontId="4"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3" xfId="0" applyFont="1" applyFill="1" applyBorder="1" applyAlignment="1">
      <alignment vertical="top"/>
    </xf>
    <xf numFmtId="0" fontId="4" fillId="4" borderId="11" xfId="0" applyFont="1" applyFill="1" applyBorder="1" applyAlignment="1">
      <alignment horizontal="center" vertical="top" wrapText="1"/>
    </xf>
    <xf numFmtId="0" fontId="4" fillId="4" borderId="21" xfId="0" applyFont="1" applyFill="1" applyBorder="1" applyAlignment="1">
      <alignment wrapText="1"/>
    </xf>
    <xf numFmtId="0" fontId="3" fillId="3" borderId="70" xfId="0" applyFont="1" applyFill="1" applyBorder="1"/>
    <xf numFmtId="0" fontId="3" fillId="3" borderId="37" xfId="0" applyFont="1" applyFill="1" applyBorder="1" applyAlignment="1">
      <alignment horizontal="left" indent="1"/>
    </xf>
    <xf numFmtId="0" fontId="3" fillId="3" borderId="71" xfId="0" applyFont="1" applyFill="1" applyBorder="1" applyAlignment="1">
      <alignment horizontal="left"/>
    </xf>
    <xf numFmtId="0" fontId="9" fillId="6" borderId="72" xfId="7" applyFont="1" applyFill="1" applyBorder="1" applyAlignment="1" applyProtection="1">
      <alignment horizontal="centerContinuous" vertical="center" wrapText="1"/>
    </xf>
    <xf numFmtId="0" fontId="3" fillId="4" borderId="70" xfId="0" applyFont="1" applyFill="1" applyBorder="1"/>
    <xf numFmtId="0" fontId="4" fillId="5" borderId="73" xfId="0" applyFont="1" applyFill="1" applyBorder="1"/>
    <xf numFmtId="0" fontId="3" fillId="4" borderId="73" xfId="0" applyFont="1" applyFill="1" applyBorder="1"/>
    <xf numFmtId="0" fontId="3" fillId="3" borderId="37" xfId="0" applyFont="1" applyFill="1" applyBorder="1" applyAlignment="1">
      <alignment horizontal="left"/>
    </xf>
    <xf numFmtId="3" fontId="3" fillId="3" borderId="4" xfId="1" applyNumberFormat="1" applyFont="1" applyFill="1" applyBorder="1"/>
    <xf numFmtId="3" fontId="0" fillId="0" borderId="0" xfId="0" applyNumberFormat="1"/>
    <xf numFmtId="178" fontId="3" fillId="3" borderId="0" xfId="0" applyNumberFormat="1" applyFont="1" applyFill="1"/>
    <xf numFmtId="0" fontId="3" fillId="3" borderId="0" xfId="0" applyFont="1" applyFill="1" applyAlignment="1">
      <alignment horizontal="right" indent="1"/>
    </xf>
    <xf numFmtId="181" fontId="3" fillId="3" borderId="0" xfId="1" applyNumberFormat="1" applyFont="1" applyFill="1"/>
    <xf numFmtId="0" fontId="4" fillId="4" borderId="13" xfId="0" applyFont="1" applyFill="1" applyBorder="1" applyAlignment="1">
      <alignment horizontal="center" vertical="center" wrapText="1"/>
    </xf>
    <xf numFmtId="3" fontId="3" fillId="3" borderId="0" xfId="0" applyNumberFormat="1" applyFont="1" applyFill="1" applyBorder="1" applyAlignment="1">
      <alignment horizontal="right" indent="1"/>
    </xf>
    <xf numFmtId="0" fontId="3" fillId="3" borderId="0" xfId="0" applyFont="1" applyFill="1" applyBorder="1" applyAlignment="1">
      <alignment horizontal="right" indent="1"/>
    </xf>
    <xf numFmtId="0" fontId="3" fillId="0" borderId="0" xfId="0" applyFont="1" applyFill="1" applyBorder="1"/>
    <xf numFmtId="7" fontId="3" fillId="3" borderId="0" xfId="1" applyNumberFormat="1" applyFont="1" applyFill="1" applyBorder="1"/>
    <xf numFmtId="168" fontId="4" fillId="5" borderId="30" xfId="0" applyNumberFormat="1" applyFont="1" applyFill="1" applyBorder="1"/>
    <xf numFmtId="9" fontId="3" fillId="3" borderId="6" xfId="2" applyFont="1" applyFill="1" applyBorder="1" applyAlignment="1">
      <alignment horizontal="center"/>
    </xf>
    <xf numFmtId="0" fontId="4" fillId="5" borderId="29" xfId="0" applyFont="1" applyFill="1" applyBorder="1" applyAlignment="1">
      <alignment horizontal="center"/>
    </xf>
    <xf numFmtId="9" fontId="4" fillId="5" borderId="12" xfId="2" applyFont="1" applyFill="1" applyBorder="1" applyAlignment="1">
      <alignment horizontal="center"/>
    </xf>
    <xf numFmtId="9" fontId="3" fillId="3" borderId="0" xfId="2" applyFont="1" applyFill="1" applyBorder="1" applyAlignment="1">
      <alignment horizontal="center"/>
    </xf>
    <xf numFmtId="0" fontId="3" fillId="5" borderId="21" xfId="0" applyFont="1" applyFill="1" applyBorder="1" applyAlignment="1">
      <alignment horizontal="center"/>
    </xf>
    <xf numFmtId="9" fontId="3" fillId="5" borderId="13" xfId="2" applyFont="1" applyFill="1" applyBorder="1" applyAlignment="1">
      <alignment horizontal="center"/>
    </xf>
    <xf numFmtId="9" fontId="4" fillId="5" borderId="13" xfId="2" applyFont="1" applyFill="1" applyBorder="1" applyAlignment="1">
      <alignment horizontal="center"/>
    </xf>
    <xf numFmtId="167" fontId="3" fillId="3" borderId="7" xfId="2" applyNumberFormat="1" applyFont="1" applyFill="1" applyBorder="1" applyAlignment="1">
      <alignment horizontal="center"/>
    </xf>
    <xf numFmtId="0" fontId="4" fillId="5" borderId="18" xfId="0" applyFont="1" applyFill="1" applyBorder="1" applyAlignment="1">
      <alignment horizontal="center"/>
    </xf>
    <xf numFmtId="9" fontId="3" fillId="3" borderId="7" xfId="2" applyFont="1" applyFill="1" applyBorder="1" applyAlignment="1">
      <alignment horizontal="center"/>
    </xf>
    <xf numFmtId="0" fontId="3" fillId="5" borderId="15" xfId="0" applyFont="1" applyFill="1" applyBorder="1" applyAlignment="1">
      <alignment horizontal="center"/>
    </xf>
    <xf numFmtId="182" fontId="3" fillId="3" borderId="0" xfId="1" applyNumberFormat="1" applyFont="1" applyFill="1" applyBorder="1"/>
    <xf numFmtId="182" fontId="3" fillId="12" borderId="0" xfId="1" applyNumberFormat="1" applyFont="1" applyFill="1" applyBorder="1"/>
    <xf numFmtId="182" fontId="4" fillId="5" borderId="12" xfId="1" applyNumberFormat="1" applyFont="1" applyFill="1" applyBorder="1"/>
    <xf numFmtId="182" fontId="4" fillId="5" borderId="13" xfId="1" applyNumberFormat="1" applyFont="1" applyFill="1" applyBorder="1"/>
    <xf numFmtId="182" fontId="4" fillId="5" borderId="2" xfId="1" applyNumberFormat="1" applyFont="1" applyFill="1" applyBorder="1"/>
    <xf numFmtId="182" fontId="3" fillId="3" borderId="0" xfId="1" applyNumberFormat="1" applyFont="1" applyFill="1"/>
    <xf numFmtId="182" fontId="4" fillId="5" borderId="14" xfId="1" applyNumberFormat="1" applyFont="1" applyFill="1" applyBorder="1"/>
    <xf numFmtId="182" fontId="3" fillId="5" borderId="13" xfId="1" applyNumberFormat="1" applyFont="1" applyFill="1" applyBorder="1"/>
    <xf numFmtId="182" fontId="3" fillId="3" borderId="0" xfId="0" applyNumberFormat="1" applyFont="1" applyFill="1" applyBorder="1"/>
    <xf numFmtId="182" fontId="3" fillId="4" borderId="13" xfId="0" applyNumberFormat="1" applyFont="1" applyFill="1" applyBorder="1"/>
    <xf numFmtId="182" fontId="3" fillId="5" borderId="0" xfId="0" applyNumberFormat="1" applyFont="1" applyFill="1" applyBorder="1"/>
    <xf numFmtId="182" fontId="3" fillId="5" borderId="26" xfId="0" applyNumberFormat="1" applyFont="1" applyFill="1" applyBorder="1"/>
    <xf numFmtId="182" fontId="3" fillId="13" borderId="22" xfId="1" applyNumberFormat="1" applyFont="1" applyFill="1" applyBorder="1"/>
    <xf numFmtId="182" fontId="3" fillId="13" borderId="0" xfId="2" applyNumberFormat="1" applyFont="1" applyFill="1" applyBorder="1"/>
    <xf numFmtId="182" fontId="3" fillId="13" borderId="0" xfId="1" applyNumberFormat="1" applyFont="1" applyFill="1" applyBorder="1"/>
    <xf numFmtId="182" fontId="3" fillId="13" borderId="26" xfId="1" applyNumberFormat="1" applyFont="1" applyFill="1" applyBorder="1"/>
    <xf numFmtId="182" fontId="4" fillId="5" borderId="12" xfId="2" applyNumberFormat="1" applyFont="1" applyFill="1" applyBorder="1"/>
    <xf numFmtId="182" fontId="3" fillId="3" borderId="31" xfId="2" applyNumberFormat="1" applyFont="1" applyFill="1" applyBorder="1"/>
    <xf numFmtId="182" fontId="3" fillId="5" borderId="13" xfId="2" applyNumberFormat="1" applyFont="1" applyFill="1" applyBorder="1"/>
    <xf numFmtId="182" fontId="4" fillId="5" borderId="13" xfId="2" applyNumberFormat="1" applyFont="1" applyFill="1" applyBorder="1"/>
    <xf numFmtId="182" fontId="4" fillId="14" borderId="13" xfId="2" applyNumberFormat="1" applyFont="1" applyFill="1" applyBorder="1"/>
    <xf numFmtId="179" fontId="3" fillId="15" borderId="22" xfId="1" applyNumberFormat="1" applyFont="1" applyFill="1" applyBorder="1"/>
    <xf numFmtId="179" fontId="3" fillId="15" borderId="0" xfId="2" applyNumberFormat="1" applyFont="1" applyFill="1" applyBorder="1"/>
    <xf numFmtId="179" fontId="3" fillId="15" borderId="0" xfId="1" applyNumberFormat="1" applyFont="1" applyFill="1" applyBorder="1"/>
    <xf numFmtId="179" fontId="3" fillId="15" borderId="26" xfId="1" applyNumberFormat="1" applyFont="1" applyFill="1" applyBorder="1"/>
    <xf numFmtId="179" fontId="4" fillId="5" borderId="12" xfId="1" applyNumberFormat="1" applyFont="1" applyFill="1" applyBorder="1"/>
    <xf numFmtId="179" fontId="3" fillId="3" borderId="31" xfId="2" applyNumberFormat="1" applyFont="1" applyFill="1" applyBorder="1"/>
    <xf numFmtId="179" fontId="3" fillId="5" borderId="13" xfId="2" applyNumberFormat="1" applyFont="1" applyFill="1" applyBorder="1"/>
    <xf numFmtId="179" fontId="4" fillId="5" borderId="13" xfId="1" applyNumberFormat="1" applyFont="1" applyFill="1" applyBorder="1"/>
    <xf numFmtId="179" fontId="3" fillId="3" borderId="0" xfId="1" applyNumberFormat="1" applyFont="1" applyFill="1" applyBorder="1"/>
    <xf numFmtId="179" fontId="4" fillId="5" borderId="14" xfId="1" applyNumberFormat="1" applyFont="1" applyFill="1" applyBorder="1"/>
    <xf numFmtId="179" fontId="3" fillId="5" borderId="13" xfId="1" applyNumberFormat="1" applyFont="1" applyFill="1" applyBorder="1"/>
    <xf numFmtId="179" fontId="3" fillId="16" borderId="0" xfId="1" applyNumberFormat="1" applyFont="1" applyFill="1" applyBorder="1"/>
    <xf numFmtId="179" fontId="3" fillId="3" borderId="0" xfId="0" applyNumberFormat="1" applyFont="1" applyFill="1" applyBorder="1"/>
    <xf numFmtId="179" fontId="3" fillId="4" borderId="13" xfId="0" applyNumberFormat="1" applyFont="1" applyFill="1" applyBorder="1"/>
    <xf numFmtId="179" fontId="3" fillId="5" borderId="0" xfId="0" applyNumberFormat="1" applyFont="1" applyFill="1" applyBorder="1"/>
    <xf numFmtId="179" fontId="3" fillId="5" borderId="26" xfId="0" applyNumberFormat="1" applyFont="1" applyFill="1" applyBorder="1"/>
    <xf numFmtId="182" fontId="7" fillId="5" borderId="13" xfId="1" applyNumberFormat="1" applyFont="1" applyFill="1" applyBorder="1"/>
    <xf numFmtId="7" fontId="3" fillId="3" borderId="0" xfId="1" applyNumberFormat="1" applyFont="1" applyFill="1" applyBorder="1" applyAlignment="1">
      <alignment horizontal="right"/>
    </xf>
    <xf numFmtId="0" fontId="0" fillId="0" borderId="2" xfId="0" applyFill="1" applyBorder="1"/>
    <xf numFmtId="169" fontId="3" fillId="3" borderId="7" xfId="1" applyNumberFormat="1" applyFont="1" applyFill="1" applyBorder="1" applyAlignment="1">
      <alignment horizontal="right"/>
    </xf>
    <xf numFmtId="169" fontId="4" fillId="5" borderId="18" xfId="1" applyNumberFormat="1" applyFont="1" applyFill="1" applyBorder="1" applyAlignment="1">
      <alignment horizontal="right"/>
    </xf>
    <xf numFmtId="169" fontId="3" fillId="3" borderId="7" xfId="0" applyNumberFormat="1" applyFont="1" applyFill="1" applyBorder="1" applyAlignment="1">
      <alignment horizontal="right"/>
    </xf>
    <xf numFmtId="169" fontId="3" fillId="5" borderId="15" xfId="0" applyNumberFormat="1" applyFont="1" applyFill="1" applyBorder="1" applyAlignment="1">
      <alignment horizontal="right"/>
    </xf>
    <xf numFmtId="169" fontId="4" fillId="5" borderId="15" xfId="1" applyNumberFormat="1" applyFont="1" applyFill="1" applyBorder="1" applyAlignment="1">
      <alignment horizontal="right"/>
    </xf>
    <xf numFmtId="169" fontId="3" fillId="48" borderId="0" xfId="1" applyNumberFormat="1" applyFont="1" applyFill="1" applyBorder="1"/>
    <xf numFmtId="169" fontId="4" fillId="48" borderId="12" xfId="1" applyNumberFormat="1" applyFont="1" applyFill="1" applyBorder="1"/>
    <xf numFmtId="169" fontId="4" fillId="48" borderId="13" xfId="1" applyNumberFormat="1" applyFont="1" applyFill="1" applyBorder="1"/>
    <xf numFmtId="169" fontId="4" fillId="48" borderId="14" xfId="0" applyNumberFormat="1" applyFont="1" applyFill="1" applyBorder="1"/>
    <xf numFmtId="0" fontId="4" fillId="3" borderId="25" xfId="0" applyFont="1" applyFill="1" applyBorder="1"/>
    <xf numFmtId="0" fontId="0" fillId="0" borderId="0" xfId="0" applyFill="1"/>
    <xf numFmtId="0" fontId="3" fillId="3" borderId="0" xfId="0" applyFont="1" applyFill="1" applyAlignment="1">
      <alignment horizontal="left" indent="1"/>
    </xf>
    <xf numFmtId="0" fontId="74" fillId="3" borderId="6" xfId="0" applyFont="1" applyFill="1" applyBorder="1" applyAlignment="1">
      <alignment horizontal="left" indent="1"/>
    </xf>
    <xf numFmtId="0" fontId="74" fillId="3" borderId="0" xfId="0" applyFont="1" applyFill="1" applyBorder="1" applyAlignment="1">
      <alignment horizontal="left" indent="1"/>
    </xf>
    <xf numFmtId="0" fontId="74" fillId="3" borderId="0" xfId="0" applyFont="1" applyFill="1" applyAlignment="1">
      <alignment horizontal="left" indent="1"/>
    </xf>
    <xf numFmtId="0" fontId="4" fillId="4" borderId="28" xfId="0" applyFont="1" applyFill="1" applyBorder="1" applyAlignment="1">
      <alignment vertical="center"/>
    </xf>
    <xf numFmtId="0" fontId="4" fillId="4" borderId="17" xfId="0" applyFont="1" applyFill="1" applyBorder="1" applyAlignment="1">
      <alignment horizontal="center" vertical="center"/>
    </xf>
    <xf numFmtId="0" fontId="4" fillId="4" borderId="28" xfId="0" applyFont="1" applyFill="1" applyBorder="1"/>
    <xf numFmtId="0" fontId="17" fillId="4" borderId="17" xfId="0" applyFont="1" applyFill="1" applyBorder="1" applyAlignment="1">
      <alignment horizontal="center"/>
    </xf>
    <xf numFmtId="0" fontId="7" fillId="4" borderId="28" xfId="0" applyFont="1" applyFill="1" applyBorder="1"/>
    <xf numFmtId="0" fontId="4" fillId="4" borderId="17" xfId="0" applyFont="1" applyFill="1" applyBorder="1" applyAlignment="1">
      <alignment horizontal="center"/>
    </xf>
    <xf numFmtId="0" fontId="3" fillId="3" borderId="37" xfId="0" applyFont="1" applyFill="1" applyBorder="1"/>
    <xf numFmtId="0" fontId="9" fillId="6" borderId="75" xfId="7" applyFont="1" applyFill="1" applyBorder="1" applyAlignment="1" applyProtection="1">
      <alignment horizontal="centerContinuous" vertical="center" wrapText="1"/>
    </xf>
    <xf numFmtId="0" fontId="3" fillId="4" borderId="76" xfId="0" applyFont="1" applyFill="1" applyBorder="1" applyAlignment="1">
      <alignment horizontal="center"/>
    </xf>
    <xf numFmtId="167" fontId="6" fillId="3" borderId="77" xfId="2" applyNumberFormat="1" applyFont="1" applyFill="1" applyBorder="1"/>
    <xf numFmtId="10" fontId="6" fillId="3" borderId="77" xfId="1" applyNumberFormat="1" applyFont="1" applyFill="1" applyBorder="1"/>
    <xf numFmtId="0" fontId="4" fillId="5" borderId="71" xfId="0" applyFont="1" applyFill="1" applyBorder="1"/>
    <xf numFmtId="9" fontId="6" fillId="3" borderId="77" xfId="1" applyNumberFormat="1" applyFont="1" applyFill="1" applyBorder="1"/>
    <xf numFmtId="0" fontId="4" fillId="5" borderId="73" xfId="0" applyFont="1" applyFill="1" applyBorder="1" applyAlignment="1">
      <alignment horizontal="left"/>
    </xf>
    <xf numFmtId="167" fontId="6" fillId="3" borderId="77" xfId="1" applyNumberFormat="1" applyFont="1" applyFill="1" applyBorder="1"/>
    <xf numFmtId="0" fontId="4" fillId="5" borderId="79" xfId="0" applyFont="1" applyFill="1" applyBorder="1" applyAlignment="1">
      <alignment horizontal="left"/>
    </xf>
    <xf numFmtId="0" fontId="3" fillId="4" borderId="81" xfId="0" applyFont="1" applyFill="1" applyBorder="1" applyAlignment="1">
      <alignment horizontal="center"/>
    </xf>
    <xf numFmtId="0" fontId="3" fillId="3" borderId="70" xfId="0" applyFont="1" applyFill="1" applyBorder="1" applyAlignment="1">
      <alignment horizontal="left" indent="2"/>
    </xf>
    <xf numFmtId="9" fontId="6" fillId="3" borderId="81" xfId="2" applyFont="1" applyFill="1" applyBorder="1"/>
    <xf numFmtId="0" fontId="4" fillId="5" borderId="38" xfId="0" applyFont="1" applyFill="1" applyBorder="1"/>
    <xf numFmtId="0" fontId="3" fillId="4" borderId="73" xfId="0" applyFont="1" applyFill="1" applyBorder="1" applyAlignment="1">
      <alignment wrapText="1"/>
    </xf>
    <xf numFmtId="0" fontId="74" fillId="0" borderId="0" xfId="0" applyFont="1" applyFill="1" applyAlignment="1">
      <alignment horizontal="left" indent="1"/>
    </xf>
    <xf numFmtId="167" fontId="3" fillId="3" borderId="0" xfId="2" applyNumberFormat="1" applyFont="1" applyFill="1" applyBorder="1" applyAlignment="1">
      <alignment horizontal="right"/>
    </xf>
    <xf numFmtId="179" fontId="6" fillId="3" borderId="5" xfId="1" applyNumberFormat="1" applyFont="1" applyFill="1" applyBorder="1"/>
    <xf numFmtId="0" fontId="0" fillId="0" borderId="0" xfId="0" applyAlignment="1">
      <alignment horizontal="left"/>
    </xf>
    <xf numFmtId="0" fontId="0" fillId="0" borderId="0" xfId="0" applyAlignment="1">
      <alignment horizontal="left" indent="1"/>
    </xf>
    <xf numFmtId="0" fontId="3" fillId="4" borderId="83" xfId="0" applyFont="1" applyFill="1" applyBorder="1" applyAlignment="1">
      <alignment horizontal="center" vertical="center" wrapText="1"/>
    </xf>
    <xf numFmtId="179" fontId="6" fillId="3" borderId="22" xfId="1" applyNumberFormat="1" applyFont="1" applyFill="1" applyBorder="1"/>
    <xf numFmtId="3" fontId="3" fillId="0" borderId="0" xfId="0" applyNumberFormat="1" applyFont="1" applyFill="1"/>
    <xf numFmtId="167" fontId="3" fillId="3" borderId="7" xfId="1" applyNumberFormat="1" applyFont="1" applyFill="1" applyBorder="1"/>
    <xf numFmtId="167" fontId="4" fillId="5" borderId="18" xfId="1" applyNumberFormat="1" applyFont="1" applyFill="1" applyBorder="1"/>
    <xf numFmtId="167" fontId="3" fillId="3" borderId="7" xfId="0" applyNumberFormat="1" applyFont="1" applyFill="1" applyBorder="1"/>
    <xf numFmtId="167" fontId="3" fillId="5" borderId="15" xfId="0" applyNumberFormat="1" applyFont="1" applyFill="1" applyBorder="1"/>
    <xf numFmtId="167" fontId="4" fillId="5" borderId="15" xfId="1" applyNumberFormat="1" applyFont="1" applyFill="1" applyBorder="1"/>
    <xf numFmtId="167" fontId="4" fillId="5" borderId="17" xfId="0" applyNumberFormat="1" applyFont="1" applyFill="1" applyBorder="1"/>
    <xf numFmtId="0" fontId="74" fillId="3" borderId="0" xfId="0" applyFont="1" applyFill="1" applyBorder="1" applyAlignment="1">
      <alignment horizontal="left" indent="1"/>
    </xf>
    <xf numFmtId="0" fontId="4" fillId="0" borderId="0" xfId="0" applyFont="1" applyFill="1" applyBorder="1"/>
    <xf numFmtId="166" fontId="7" fillId="0" borderId="0" xfId="1" applyNumberFormat="1" applyFont="1" applyFill="1" applyBorder="1"/>
    <xf numFmtId="167" fontId="3" fillId="3" borderId="22" xfId="2" applyNumberFormat="1" applyFont="1" applyFill="1" applyBorder="1" applyAlignment="1">
      <alignment horizontal="center"/>
    </xf>
    <xf numFmtId="0" fontId="3" fillId="0" borderId="37" xfId="0" applyFont="1" applyFill="1" applyBorder="1"/>
    <xf numFmtId="0" fontId="3" fillId="3" borderId="38" xfId="0" applyFont="1" applyFill="1" applyBorder="1"/>
    <xf numFmtId="0" fontId="74" fillId="3" borderId="0" xfId="0" applyFont="1" applyFill="1" applyBorder="1" applyAlignment="1">
      <alignment horizontal="left" indent="1"/>
    </xf>
    <xf numFmtId="0" fontId="74" fillId="0" borderId="0" xfId="0" applyFont="1" applyFill="1" applyBorder="1" applyAlignment="1"/>
    <xf numFmtId="9" fontId="76" fillId="3" borderId="0" xfId="2" applyFont="1" applyFill="1" applyBorder="1" applyAlignment="1">
      <alignment horizontal="center"/>
    </xf>
    <xf numFmtId="0" fontId="4" fillId="5" borderId="79" xfId="0" applyFont="1" applyFill="1" applyBorder="1"/>
    <xf numFmtId="181" fontId="6" fillId="0" borderId="0" xfId="1" applyNumberFormat="1" applyFont="1" applyFill="1" applyBorder="1"/>
    <xf numFmtId="179" fontId="6" fillId="3" borderId="84" xfId="1" applyNumberFormat="1" applyFont="1" applyFill="1" applyBorder="1"/>
    <xf numFmtId="0" fontId="4" fillId="4" borderId="39" xfId="0" applyFont="1" applyFill="1" applyBorder="1"/>
    <xf numFmtId="166" fontId="7" fillId="4" borderId="85" xfId="1" applyNumberFormat="1" applyFont="1" applyFill="1" applyBorder="1"/>
    <xf numFmtId="167" fontId="3" fillId="0" borderId="0" xfId="2" applyNumberFormat="1" applyFont="1" applyFill="1"/>
    <xf numFmtId="164" fontId="3" fillId="0" borderId="0" xfId="1" applyFont="1" applyFill="1"/>
    <xf numFmtId="179" fontId="3" fillId="0" borderId="0" xfId="0" applyNumberFormat="1" applyFont="1" applyFill="1"/>
    <xf numFmtId="0" fontId="3" fillId="0" borderId="0" xfId="0" applyFont="1" applyFill="1" applyAlignment="1">
      <alignment vertical="top" wrapText="1"/>
    </xf>
    <xf numFmtId="0" fontId="3" fillId="3" borderId="6" xfId="0" applyFont="1" applyFill="1" applyBorder="1" applyAlignment="1">
      <alignment horizontal="left" indent="1"/>
    </xf>
    <xf numFmtId="0" fontId="3" fillId="3" borderId="8" xfId="0" applyFont="1" applyFill="1" applyBorder="1" applyAlignment="1">
      <alignment horizontal="left" indent="1"/>
    </xf>
    <xf numFmtId="0" fontId="3" fillId="3" borderId="6" xfId="0" applyFont="1" applyFill="1" applyBorder="1" applyAlignment="1">
      <alignment horizontal="left" wrapText="1" indent="1"/>
    </xf>
    <xf numFmtId="0" fontId="6" fillId="3" borderId="8" xfId="0" applyFont="1" applyFill="1" applyBorder="1" applyAlignment="1">
      <alignment horizontal="left" indent="1"/>
    </xf>
    <xf numFmtId="0" fontId="6" fillId="3" borderId="6" xfId="0" applyFont="1" applyFill="1" applyBorder="1" applyAlignment="1">
      <alignment horizontal="left" wrapText="1" indent="1"/>
    </xf>
    <xf numFmtId="0" fontId="6" fillId="3" borderId="8" xfId="0" applyFont="1" applyFill="1" applyBorder="1" applyAlignment="1">
      <alignment horizontal="left" wrapText="1" indent="1"/>
    </xf>
    <xf numFmtId="0" fontId="4" fillId="0" borderId="6" xfId="0" applyFont="1" applyFill="1" applyBorder="1"/>
    <xf numFmtId="166" fontId="7" fillId="0" borderId="7" xfId="1" applyNumberFormat="1" applyFont="1" applyFill="1" applyBorder="1"/>
    <xf numFmtId="0" fontId="3" fillId="0" borderId="6" xfId="0" applyFont="1" applyFill="1" applyBorder="1" applyAlignment="1">
      <alignment horizontal="left" indent="1"/>
    </xf>
    <xf numFmtId="179" fontId="6" fillId="3" borderId="77" xfId="1" applyNumberFormat="1" applyFont="1" applyFill="1" applyBorder="1"/>
    <xf numFmtId="179" fontId="6" fillId="3" borderId="78" xfId="1" applyNumberFormat="1" applyFont="1" applyFill="1" applyBorder="1"/>
    <xf numFmtId="179" fontId="7" fillId="5" borderId="78" xfId="1" applyNumberFormat="1" applyFont="1" applyFill="1" applyBorder="1"/>
    <xf numFmtId="179" fontId="7" fillId="5" borderId="76" xfId="1" applyNumberFormat="1" applyFont="1" applyFill="1" applyBorder="1"/>
    <xf numFmtId="179" fontId="7" fillId="5" borderId="80" xfId="1" applyNumberFormat="1" applyFont="1" applyFill="1" applyBorder="1"/>
    <xf numFmtId="179" fontId="6" fillId="3" borderId="81" xfId="1" applyNumberFormat="1" applyFont="1" applyFill="1" applyBorder="1"/>
    <xf numFmtId="179" fontId="7" fillId="5" borderId="82" xfId="1" applyNumberFormat="1" applyFont="1" applyFill="1" applyBorder="1"/>
    <xf numFmtId="0" fontId="0" fillId="0" borderId="0" xfId="0" applyNumberFormat="1"/>
    <xf numFmtId="0" fontId="77" fillId="3" borderId="2" xfId="0" applyFont="1" applyFill="1" applyBorder="1"/>
    <xf numFmtId="0" fontId="3" fillId="0" borderId="0" xfId="0" applyFont="1" applyBorder="1" applyAlignment="1">
      <alignment vertical="top" wrapText="1"/>
    </xf>
    <xf numFmtId="167" fontId="0" fillId="0" borderId="0" xfId="2" applyNumberFormat="1" applyFo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NumberFormat="1" applyFont="1" applyFill="1" applyBorder="1" applyAlignment="1">
      <alignment horizontal="right" indent="1"/>
    </xf>
    <xf numFmtId="167" fontId="3" fillId="3" borderId="0" xfId="2" applyNumberFormat="1" applyFont="1" applyFill="1" applyBorder="1" applyAlignment="1">
      <alignment horizontal="right" indent="1"/>
    </xf>
    <xf numFmtId="0" fontId="0" fillId="0" borderId="0" xfId="0" applyAlignment="1">
      <alignment horizontal="left" indent="2"/>
    </xf>
    <xf numFmtId="0" fontId="74" fillId="0" borderId="0" xfId="0" applyFont="1" applyFill="1"/>
    <xf numFmtId="5" fontId="3" fillId="3" borderId="0" xfId="1" applyNumberFormat="1" applyFont="1" applyFill="1" applyBorder="1" applyAlignment="1">
      <alignment horizontal="right"/>
    </xf>
    <xf numFmtId="7" fontId="0" fillId="0" borderId="0" xfId="0" applyNumberFormat="1"/>
    <xf numFmtId="168" fontId="3" fillId="3" borderId="0" xfId="0" applyNumberFormat="1" applyFont="1" applyFill="1"/>
    <xf numFmtId="44" fontId="0" fillId="0" borderId="0" xfId="0" applyNumberFormat="1"/>
    <xf numFmtId="9" fontId="0" fillId="0" borderId="0" xfId="0" applyNumberFormat="1"/>
    <xf numFmtId="183" fontId="0" fillId="0" borderId="0" xfId="0" applyNumberFormat="1"/>
    <xf numFmtId="9" fontId="0" fillId="0" borderId="0" xfId="2" applyFont="1"/>
    <xf numFmtId="168" fontId="0" fillId="0" borderId="0" xfId="0" applyNumberFormat="1"/>
    <xf numFmtId="3" fontId="4" fillId="5" borderId="12" xfId="0" applyNumberFormat="1" applyFont="1" applyFill="1" applyBorder="1"/>
    <xf numFmtId="0" fontId="78" fillId="0" borderId="0" xfId="0" applyFont="1"/>
    <xf numFmtId="171" fontId="0" fillId="0" borderId="0" xfId="0" applyNumberFormat="1"/>
    <xf numFmtId="0" fontId="0" fillId="0" borderId="0" xfId="0" applyAlignment="1">
      <alignment wrapText="1"/>
    </xf>
    <xf numFmtId="0" fontId="74" fillId="3" borderId="0" xfId="0" applyFont="1" applyFill="1" applyBorder="1" applyAlignment="1">
      <alignment horizontal="left" indent="1"/>
    </xf>
    <xf numFmtId="0" fontId="0" fillId="0" borderId="0" xfId="0" applyFill="1" applyBorder="1"/>
    <xf numFmtId="0" fontId="8" fillId="0" borderId="0" xfId="0" applyFont="1" applyFill="1" applyBorder="1" applyAlignment="1">
      <alignment horizontal="left" indent="1"/>
    </xf>
    <xf numFmtId="0" fontId="78" fillId="0" borderId="26" xfId="0" applyFont="1" applyBorder="1"/>
    <xf numFmtId="0" fontId="78" fillId="50" borderId="26" xfId="0" applyFont="1" applyFill="1" applyBorder="1"/>
    <xf numFmtId="167" fontId="78" fillId="0" borderId="0" xfId="2" applyNumberFormat="1" applyFont="1"/>
    <xf numFmtId="166" fontId="6" fillId="3" borderId="0" xfId="1" applyNumberFormat="1" applyFont="1" applyFill="1" applyBorder="1"/>
    <xf numFmtId="0" fontId="74" fillId="0" borderId="0" xfId="0" applyFont="1" applyFill="1" applyBorder="1" applyAlignment="1">
      <alignment horizontal="left" indent="1"/>
    </xf>
    <xf numFmtId="0" fontId="4" fillId="4" borderId="4" xfId="0" applyFont="1" applyFill="1" applyBorder="1"/>
    <xf numFmtId="0" fontId="17" fillId="4" borderId="5" xfId="0" applyFont="1" applyFill="1" applyBorder="1" applyAlignment="1">
      <alignment horizontal="center"/>
    </xf>
    <xf numFmtId="0" fontId="3" fillId="3" borderId="4" xfId="0" applyFont="1" applyFill="1" applyBorder="1" applyAlignment="1">
      <alignment horizontal="left" indent="1"/>
    </xf>
    <xf numFmtId="0" fontId="4" fillId="5" borderId="32" xfId="0" applyFont="1" applyFill="1" applyBorder="1"/>
    <xf numFmtId="184" fontId="7" fillId="5" borderId="33" xfId="1" applyNumberFormat="1" applyFont="1" applyFill="1" applyBorder="1"/>
    <xf numFmtId="184" fontId="6" fillId="3" borderId="77" xfId="1" applyNumberFormat="1" applyFont="1" applyFill="1" applyBorder="1"/>
    <xf numFmtId="5" fontId="3" fillId="3" borderId="0" xfId="1" applyNumberFormat="1" applyFont="1" applyFill="1" applyBorder="1"/>
    <xf numFmtId="0" fontId="74" fillId="3" borderId="0" xfId="0" applyFont="1" applyFill="1" applyBorder="1" applyAlignment="1">
      <alignment horizontal="left" indent="1"/>
    </xf>
    <xf numFmtId="184" fontId="3" fillId="12" borderId="0" xfId="1" applyNumberFormat="1" applyFont="1" applyFill="1" applyBorder="1"/>
    <xf numFmtId="184" fontId="3" fillId="13" borderId="0" xfId="1" applyNumberFormat="1" applyFont="1" applyFill="1"/>
    <xf numFmtId="184" fontId="3" fillId="15" borderId="0" xfId="1" applyNumberFormat="1" applyFont="1" applyFill="1" applyBorder="1"/>
    <xf numFmtId="184" fontId="3" fillId="3" borderId="0" xfId="1" applyNumberFormat="1" applyFont="1" applyFill="1" applyBorder="1"/>
    <xf numFmtId="184" fontId="3" fillId="17" borderId="0" xfId="1" applyNumberFormat="1" applyFont="1" applyFill="1" applyBorder="1"/>
    <xf numFmtId="184" fontId="3" fillId="17" borderId="26" xfId="1" applyNumberFormat="1" applyFont="1" applyFill="1" applyBorder="1"/>
    <xf numFmtId="184" fontId="3" fillId="18" borderId="26" xfId="1" applyNumberFormat="1" applyFont="1" applyFill="1" applyBorder="1"/>
    <xf numFmtId="184" fontId="4" fillId="5" borderId="13" xfId="1" applyNumberFormat="1" applyFont="1" applyFill="1" applyBorder="1"/>
    <xf numFmtId="184" fontId="4" fillId="5" borderId="2" xfId="1" applyNumberFormat="1" applyFont="1" applyFill="1" applyBorder="1"/>
    <xf numFmtId="184" fontId="4" fillId="5" borderId="14" xfId="1" applyNumberFormat="1" applyFont="1" applyFill="1" applyBorder="1"/>
    <xf numFmtId="182" fontId="4" fillId="5" borderId="13" xfId="0" applyNumberFormat="1" applyFont="1" applyFill="1" applyBorder="1"/>
    <xf numFmtId="182" fontId="4" fillId="5" borderId="2" xfId="0" applyNumberFormat="1" applyFont="1" applyFill="1" applyBorder="1"/>
    <xf numFmtId="182" fontId="4" fillId="5" borderId="14" xfId="0" applyNumberFormat="1" applyFont="1" applyFill="1" applyBorder="1"/>
    <xf numFmtId="0" fontId="15" fillId="3" borderId="2" xfId="0" applyFont="1" applyFill="1" applyBorder="1"/>
    <xf numFmtId="0" fontId="4" fillId="3" borderId="38" xfId="0" applyFont="1" applyFill="1" applyBorder="1"/>
    <xf numFmtId="167" fontId="4" fillId="3" borderId="2" xfId="0" applyNumberFormat="1" applyFont="1" applyFill="1" applyBorder="1" applyAlignment="1">
      <alignment horizontal="center"/>
    </xf>
    <xf numFmtId="179" fontId="7" fillId="3" borderId="2" xfId="1" applyNumberFormat="1" applyFont="1" applyFill="1" applyBorder="1"/>
    <xf numFmtId="179" fontId="7" fillId="3" borderId="87" xfId="1" applyNumberFormat="1" applyFont="1" applyFill="1" applyBorder="1"/>
    <xf numFmtId="0" fontId="3" fillId="3" borderId="88" xfId="0" applyFont="1" applyFill="1" applyBorder="1"/>
    <xf numFmtId="167" fontId="3" fillId="3" borderId="86" xfId="2" applyNumberFormat="1" applyFont="1" applyFill="1" applyBorder="1" applyAlignment="1">
      <alignment horizontal="center"/>
    </xf>
    <xf numFmtId="179" fontId="6" fillId="3" borderId="86" xfId="1" applyNumberFormat="1" applyFont="1" applyFill="1" applyBorder="1"/>
    <xf numFmtId="179" fontId="6" fillId="3" borderId="40" xfId="1" applyNumberFormat="1" applyFont="1" applyFill="1" applyBorder="1"/>
    <xf numFmtId="179" fontId="6" fillId="3" borderId="89" xfId="1" applyNumberFormat="1" applyFont="1" applyFill="1" applyBorder="1"/>
    <xf numFmtId="0" fontId="74" fillId="3" borderId="0" xfId="0" applyFont="1" applyFill="1" applyBorder="1" applyAlignment="1"/>
    <xf numFmtId="0" fontId="75" fillId="0" borderId="0" xfId="1247" applyFill="1" applyBorder="1" applyAlignment="1">
      <alignment horizontal="left" indent="1"/>
    </xf>
    <xf numFmtId="0" fontId="4" fillId="4" borderId="4" xfId="0" applyFont="1" applyFill="1" applyBorder="1" applyAlignment="1">
      <alignment vertical="center"/>
    </xf>
    <xf numFmtId="0" fontId="3" fillId="0" borderId="90" xfId="0" applyFont="1" applyBorder="1"/>
    <xf numFmtId="184" fontId="5" fillId="0" borderId="92" xfId="1" applyNumberFormat="1" applyFont="1" applyBorder="1"/>
    <xf numFmtId="0" fontId="3" fillId="0" borderId="6" xfId="0" applyFont="1" applyBorder="1"/>
    <xf numFmtId="184" fontId="5" fillId="0" borderId="7" xfId="1" applyNumberFormat="1" applyFont="1" applyBorder="1"/>
    <xf numFmtId="0" fontId="3" fillId="0" borderId="8" xfId="0" applyFont="1" applyBorder="1"/>
    <xf numFmtId="184" fontId="5" fillId="0" borderId="9" xfId="1" applyNumberFormat="1" applyFont="1" applyBorder="1"/>
    <xf numFmtId="0" fontId="3" fillId="0" borderId="2" xfId="0" applyFont="1" applyFill="1" applyBorder="1"/>
    <xf numFmtId="184" fontId="4" fillId="14" borderId="13" xfId="1" applyNumberFormat="1" applyFont="1" applyFill="1" applyBorder="1"/>
    <xf numFmtId="0" fontId="9" fillId="6" borderId="93" xfId="7" applyFont="1" applyFill="1" applyBorder="1" applyAlignment="1" applyProtection="1">
      <alignment horizontal="center" vertical="center"/>
    </xf>
    <xf numFmtId="0" fontId="4" fillId="4" borderId="3" xfId="0" applyFont="1" applyFill="1" applyBorder="1" applyAlignment="1">
      <alignment horizontal="center" vertical="center" wrapText="1"/>
    </xf>
    <xf numFmtId="169" fontId="3" fillId="5" borderId="3" xfId="0" applyNumberFormat="1" applyFont="1" applyFill="1" applyBorder="1"/>
    <xf numFmtId="170" fontId="3" fillId="47" borderId="10" xfId="1" applyNumberFormat="1" applyFont="1" applyFill="1" applyBorder="1"/>
    <xf numFmtId="170" fontId="3" fillId="3" borderId="94" xfId="0" applyNumberFormat="1" applyFont="1" applyFill="1" applyBorder="1"/>
    <xf numFmtId="170" fontId="3" fillId="5" borderId="3" xfId="0" applyNumberFormat="1" applyFont="1" applyFill="1" applyBorder="1"/>
    <xf numFmtId="170" fontId="3" fillId="3" borderId="10" xfId="0" applyNumberFormat="1" applyFont="1" applyFill="1" applyBorder="1"/>
    <xf numFmtId="170" fontId="4" fillId="47" borderId="25" xfId="0" applyNumberFormat="1" applyFont="1" applyFill="1" applyBorder="1"/>
    <xf numFmtId="170" fontId="4" fillId="47" borderId="3" xfId="1" applyNumberFormat="1" applyFont="1" applyFill="1" applyBorder="1"/>
    <xf numFmtId="170" fontId="4" fillId="47" borderId="95" xfId="1" applyNumberFormat="1" applyFont="1" applyFill="1" applyBorder="1"/>
    <xf numFmtId="168" fontId="4" fillId="5" borderId="30" xfId="3" applyNumberFormat="1" applyFont="1" applyFill="1" applyBorder="1"/>
    <xf numFmtId="168" fontId="4" fillId="5" borderId="24" xfId="3" applyNumberFormat="1" applyFont="1" applyFill="1" applyBorder="1"/>
    <xf numFmtId="0" fontId="3" fillId="3" borderId="97" xfId="0" applyFont="1" applyFill="1" applyBorder="1"/>
    <xf numFmtId="0" fontId="3" fillId="3" borderId="86" xfId="0" applyFont="1" applyFill="1" applyBorder="1"/>
    <xf numFmtId="168" fontId="3" fillId="3" borderId="97" xfId="3" applyNumberFormat="1" applyFont="1" applyFill="1" applyBorder="1"/>
    <xf numFmtId="168" fontId="3" fillId="3" borderId="86" xfId="3" applyNumberFormat="1" applyFont="1" applyFill="1" applyBorder="1"/>
    <xf numFmtId="168" fontId="3" fillId="3" borderId="40" xfId="3" applyNumberFormat="1" applyFont="1" applyFill="1" applyBorder="1"/>
    <xf numFmtId="170" fontId="3" fillId="47" borderId="96" xfId="1" applyNumberFormat="1" applyFont="1" applyFill="1" applyBorder="1"/>
    <xf numFmtId="168" fontId="4" fillId="5" borderId="2" xfId="0" applyNumberFormat="1" applyFont="1" applyFill="1" applyBorder="1"/>
    <xf numFmtId="168" fontId="4" fillId="5" borderId="24" xfId="0" applyNumberFormat="1" applyFont="1" applyFill="1" applyBorder="1"/>
    <xf numFmtId="168" fontId="4" fillId="5" borderId="17" xfId="3" applyNumberFormat="1" applyFont="1" applyFill="1" applyBorder="1"/>
    <xf numFmtId="170" fontId="4" fillId="47" borderId="25" xfId="1" applyNumberFormat="1" applyFont="1" applyFill="1" applyBorder="1"/>
    <xf numFmtId="0" fontId="3" fillId="3" borderId="99" xfId="0" applyFont="1" applyFill="1" applyBorder="1"/>
    <xf numFmtId="168" fontId="3" fillId="3" borderId="100" xfId="3" applyNumberFormat="1" applyFont="1" applyFill="1" applyBorder="1"/>
    <xf numFmtId="168" fontId="3" fillId="3" borderId="99" xfId="3" applyNumberFormat="1" applyFont="1" applyFill="1" applyBorder="1"/>
    <xf numFmtId="168" fontId="3" fillId="3" borderId="98" xfId="3" applyNumberFormat="1" applyFont="1" applyFill="1" applyBorder="1"/>
    <xf numFmtId="184" fontId="3" fillId="12" borderId="99" xfId="1" applyNumberFormat="1" applyFont="1" applyFill="1" applyBorder="1"/>
    <xf numFmtId="184" fontId="3" fillId="13" borderId="99" xfId="1" applyNumberFormat="1" applyFont="1" applyFill="1" applyBorder="1"/>
    <xf numFmtId="184" fontId="3" fillId="15" borderId="99" xfId="1" applyNumberFormat="1" applyFont="1" applyFill="1" applyBorder="1"/>
    <xf numFmtId="184" fontId="3" fillId="17" borderId="99" xfId="1" applyNumberFormat="1" applyFont="1" applyFill="1" applyBorder="1"/>
    <xf numFmtId="170" fontId="3" fillId="47" borderId="101" xfId="1" applyNumberFormat="1" applyFont="1" applyFill="1" applyBorder="1"/>
    <xf numFmtId="0" fontId="3" fillId="3" borderId="109" xfId="0" applyFont="1" applyFill="1" applyBorder="1"/>
    <xf numFmtId="168" fontId="3" fillId="3" borderId="110" xfId="3" applyNumberFormat="1" applyFont="1" applyFill="1" applyBorder="1"/>
    <xf numFmtId="168" fontId="3" fillId="3" borderId="109" xfId="3" applyNumberFormat="1" applyFont="1" applyFill="1" applyBorder="1"/>
    <xf numFmtId="168" fontId="3" fillId="3" borderId="108" xfId="3" applyNumberFormat="1" applyFont="1" applyFill="1" applyBorder="1"/>
    <xf numFmtId="170" fontId="3" fillId="47" borderId="111" xfId="1" applyNumberFormat="1" applyFont="1" applyFill="1" applyBorder="1"/>
    <xf numFmtId="184" fontId="3" fillId="3" borderId="110" xfId="1" applyNumberFormat="1" applyFont="1" applyFill="1" applyBorder="1"/>
    <xf numFmtId="184" fontId="3" fillId="12" borderId="109" xfId="1" applyNumberFormat="1" applyFont="1" applyFill="1" applyBorder="1"/>
    <xf numFmtId="184" fontId="3" fillId="13" borderId="109" xfId="1" applyNumberFormat="1" applyFont="1" applyFill="1" applyBorder="1"/>
    <xf numFmtId="184" fontId="3" fillId="15" borderId="109" xfId="1" applyNumberFormat="1" applyFont="1" applyFill="1" applyBorder="1"/>
    <xf numFmtId="184" fontId="3" fillId="18" borderId="109" xfId="1" applyNumberFormat="1" applyFont="1" applyFill="1" applyBorder="1"/>
    <xf numFmtId="0" fontId="4" fillId="5" borderId="14" xfId="0" applyFont="1" applyFill="1" applyBorder="1" applyAlignment="1">
      <alignment horizontal="left"/>
    </xf>
    <xf numFmtId="0" fontId="74" fillId="3" borderId="0" xfId="0" applyFont="1" applyFill="1" applyBorder="1" applyAlignment="1">
      <alignment horizontal="left" indent="1"/>
    </xf>
    <xf numFmtId="0" fontId="78" fillId="50" borderId="15" xfId="0" applyFont="1" applyFill="1" applyBorder="1" applyAlignment="1">
      <alignment horizontal="center"/>
    </xf>
    <xf numFmtId="0" fontId="75" fillId="0" borderId="0" xfId="1247" applyAlignment="1">
      <alignment horizontal="justify" vertical="center"/>
    </xf>
    <xf numFmtId="5" fontId="6" fillId="3" borderId="77" xfId="1" applyNumberFormat="1" applyFont="1" applyFill="1" applyBorder="1"/>
    <xf numFmtId="5" fontId="6" fillId="3" borderId="82" xfId="1" applyNumberFormat="1" applyFont="1" applyFill="1" applyBorder="1"/>
    <xf numFmtId="185" fontId="6" fillId="3" borderId="22" xfId="1" applyNumberFormat="1" applyFont="1" applyFill="1" applyBorder="1"/>
    <xf numFmtId="185" fontId="6" fillId="3" borderId="86" xfId="1" applyNumberFormat="1" applyFont="1" applyFill="1" applyBorder="1"/>
    <xf numFmtId="185" fontId="7" fillId="3" borderId="2" xfId="1" applyNumberFormat="1" applyFont="1" applyFill="1" applyBorder="1"/>
    <xf numFmtId="0" fontId="4" fillId="3" borderId="0" xfId="0" applyFont="1" applyFill="1"/>
    <xf numFmtId="3" fontId="4" fillId="3" borderId="0" xfId="0" applyNumberFormat="1" applyFont="1" applyFill="1" applyAlignment="1">
      <alignment horizontal="right" indent="1"/>
    </xf>
    <xf numFmtId="0" fontId="4" fillId="3" borderId="0" xfId="0" applyFont="1" applyFill="1" applyAlignment="1">
      <alignment horizontal="right" indent="1"/>
    </xf>
    <xf numFmtId="5" fontId="4" fillId="3" borderId="0" xfId="0" applyNumberFormat="1" applyFont="1" applyFill="1" applyBorder="1" applyAlignment="1">
      <alignment horizontal="right"/>
    </xf>
    <xf numFmtId="0" fontId="0" fillId="0" borderId="0" xfId="0" applyNumberFormat="1" applyFont="1" applyFill="1"/>
    <xf numFmtId="0" fontId="0" fillId="0" borderId="0" xfId="0" applyFont="1" applyFill="1"/>
    <xf numFmtId="0" fontId="0" fillId="0" borderId="0" xfId="0" applyFont="1" applyFill="1" applyAlignment="1">
      <alignment horizontal="center"/>
    </xf>
    <xf numFmtId="3" fontId="0" fillId="0" borderId="0" xfId="0" applyNumberFormat="1" applyFont="1" applyFill="1"/>
    <xf numFmtId="0" fontId="9" fillId="6" borderId="19" xfId="7" applyFont="1" applyFill="1" applyBorder="1" applyAlignment="1" applyProtection="1">
      <alignment horizontal="center" vertical="center"/>
    </xf>
    <xf numFmtId="0" fontId="9" fillId="6" borderId="74" xfId="7" applyFont="1" applyFill="1" applyBorder="1" applyAlignment="1" applyProtection="1">
      <alignment horizontal="center" vertical="center"/>
    </xf>
    <xf numFmtId="165" fontId="3" fillId="0" borderId="0" xfId="3" applyFont="1" applyFill="1"/>
    <xf numFmtId="186" fontId="3" fillId="0" borderId="0" xfId="0" applyNumberFormat="1" applyFont="1" applyFill="1"/>
    <xf numFmtId="179" fontId="7" fillId="0" borderId="0" xfId="1" applyNumberFormat="1" applyFont="1" applyFill="1" applyBorder="1"/>
    <xf numFmtId="0" fontId="9" fillId="6" borderId="20" xfId="7" applyFont="1" applyFill="1" applyBorder="1" applyAlignment="1" applyProtection="1">
      <alignment horizontal="left" vertical="center"/>
    </xf>
    <xf numFmtId="168" fontId="6" fillId="0" borderId="11" xfId="3" applyNumberFormat="1" applyFont="1" applyFill="1" applyBorder="1"/>
    <xf numFmtId="168" fontId="6" fillId="0" borderId="11" xfId="3" applyNumberFormat="1" applyFont="1" applyFill="1" applyBorder="1" applyAlignment="1">
      <alignment horizontal="right"/>
    </xf>
    <xf numFmtId="168" fontId="6" fillId="0" borderId="10" xfId="3" applyNumberFormat="1" applyFont="1" applyFill="1" applyBorder="1"/>
    <xf numFmtId="168" fontId="6" fillId="0" borderId="10" xfId="3" applyNumberFormat="1" applyFont="1" applyFill="1" applyBorder="1" applyAlignment="1">
      <alignment horizontal="right"/>
    </xf>
    <xf numFmtId="168" fontId="6" fillId="0" borderId="16" xfId="3" applyNumberFormat="1" applyFont="1" applyFill="1" applyBorder="1"/>
    <xf numFmtId="168" fontId="6" fillId="0" borderId="16" xfId="3" applyNumberFormat="1" applyFont="1" applyFill="1" applyBorder="1" applyAlignment="1">
      <alignment horizontal="right"/>
    </xf>
    <xf numFmtId="167" fontId="8" fillId="0" borderId="0" xfId="2" applyNumberFormat="1" applyFont="1"/>
    <xf numFmtId="0" fontId="4" fillId="0" borderId="32" xfId="0" applyFont="1" applyFill="1" applyBorder="1"/>
    <xf numFmtId="179" fontId="7" fillId="0" borderId="33" xfId="1" applyNumberFormat="1" applyFont="1" applyFill="1" applyBorder="1"/>
    <xf numFmtId="179" fontId="6" fillId="0" borderId="77" xfId="1" applyNumberFormat="1" applyFont="1" applyFill="1" applyBorder="1"/>
    <xf numFmtId="167" fontId="6" fillId="3" borderId="0" xfId="2" applyNumberFormat="1" applyFont="1" applyFill="1" applyBorder="1" applyAlignment="1">
      <alignment horizontal="center"/>
    </xf>
    <xf numFmtId="171" fontId="3" fillId="5" borderId="13" xfId="1" applyNumberFormat="1" applyFont="1" applyFill="1" applyBorder="1"/>
    <xf numFmtId="169" fontId="3" fillId="5" borderId="15" xfId="2" applyNumberFormat="1" applyFont="1" applyFill="1" applyBorder="1"/>
    <xf numFmtId="0" fontId="0" fillId="0" borderId="26" xfId="0" applyBorder="1"/>
    <xf numFmtId="167" fontId="8" fillId="0" borderId="26" xfId="2" applyNumberFormat="1" applyFont="1" applyBorder="1"/>
    <xf numFmtId="0" fontId="3" fillId="0" borderId="0" xfId="0" applyFont="1" applyBorder="1" applyAlignment="1">
      <alignment horizontal="center" vertical="top" wrapText="1"/>
    </xf>
    <xf numFmtId="0" fontId="3" fillId="49" borderId="0" xfId="0" applyFont="1" applyFill="1" applyBorder="1" applyAlignment="1">
      <alignment horizontal="center" vertical="top" wrapText="1"/>
    </xf>
    <xf numFmtId="167" fontId="3" fillId="12" borderId="6" xfId="2" applyNumberFormat="1" applyFont="1" applyFill="1" applyBorder="1" applyAlignment="1">
      <alignment horizontal="center"/>
    </xf>
    <xf numFmtId="167" fontId="4" fillId="5" borderId="29" xfId="2" applyNumberFormat="1" applyFont="1" applyFill="1" applyBorder="1" applyAlignment="1">
      <alignment horizontal="center"/>
    </xf>
    <xf numFmtId="167" fontId="3" fillId="12" borderId="4" xfId="2" applyNumberFormat="1" applyFont="1" applyFill="1" applyBorder="1" applyAlignment="1">
      <alignment horizontal="center"/>
    </xf>
    <xf numFmtId="167" fontId="4" fillId="5" borderId="21" xfId="2" applyNumberFormat="1" applyFont="1" applyFill="1" applyBorder="1" applyAlignment="1">
      <alignment horizontal="center"/>
    </xf>
    <xf numFmtId="167" fontId="3" fillId="13" borderId="22" xfId="2" applyNumberFormat="1" applyFont="1" applyFill="1" applyBorder="1" applyAlignment="1">
      <alignment horizontal="center"/>
    </xf>
    <xf numFmtId="167" fontId="3" fillId="13" borderId="0" xfId="2" applyNumberFormat="1" applyFont="1" applyFill="1" applyBorder="1" applyAlignment="1">
      <alignment horizontal="center"/>
    </xf>
    <xf numFmtId="167" fontId="3" fillId="13" borderId="26" xfId="2" applyNumberFormat="1" applyFont="1" applyFill="1" applyBorder="1" applyAlignment="1">
      <alignment horizontal="center"/>
    </xf>
    <xf numFmtId="9" fontId="4" fillId="5" borderId="12" xfId="2" applyNumberFormat="1" applyFont="1" applyFill="1" applyBorder="1" applyAlignment="1">
      <alignment horizontal="center"/>
    </xf>
    <xf numFmtId="167" fontId="3" fillId="3" borderId="31" xfId="2" applyNumberFormat="1" applyFont="1" applyFill="1" applyBorder="1" applyAlignment="1">
      <alignment horizontal="center"/>
    </xf>
    <xf numFmtId="167" fontId="3" fillId="5" borderId="13" xfId="2" applyNumberFormat="1" applyFont="1" applyFill="1" applyBorder="1" applyAlignment="1">
      <alignment horizontal="center"/>
    </xf>
    <xf numFmtId="167" fontId="4" fillId="5" borderId="13" xfId="2" applyNumberFormat="1" applyFont="1" applyFill="1" applyBorder="1" applyAlignment="1">
      <alignment horizontal="center"/>
    </xf>
    <xf numFmtId="167" fontId="4" fillId="14" borderId="13" xfId="2" applyNumberFormat="1" applyFont="1" applyFill="1" applyBorder="1" applyAlignment="1">
      <alignment horizontal="center"/>
    </xf>
    <xf numFmtId="167" fontId="3" fillId="15" borderId="22" xfId="2" applyNumberFormat="1" applyFont="1" applyFill="1" applyBorder="1" applyAlignment="1">
      <alignment horizontal="center"/>
    </xf>
    <xf numFmtId="167" fontId="3" fillId="15" borderId="0" xfId="2" applyNumberFormat="1" applyFont="1" applyFill="1" applyBorder="1" applyAlignment="1">
      <alignment horizontal="center"/>
    </xf>
    <xf numFmtId="167" fontId="3" fillId="15" borderId="26" xfId="2" applyNumberFormat="1" applyFont="1" applyFill="1" applyBorder="1" applyAlignment="1">
      <alignment horizontal="center"/>
    </xf>
    <xf numFmtId="167" fontId="3" fillId="16" borderId="0" xfId="2" applyNumberFormat="1" applyFont="1" applyFill="1" applyBorder="1" applyAlignment="1">
      <alignment horizontal="center"/>
    </xf>
    <xf numFmtId="167" fontId="4" fillId="5" borderId="12" xfId="2" applyNumberFormat="1" applyFont="1" applyFill="1" applyBorder="1" applyAlignment="1">
      <alignment horizontal="center"/>
    </xf>
    <xf numFmtId="0" fontId="6" fillId="3" borderId="0" xfId="0" applyFont="1" applyFill="1" applyBorder="1" applyAlignment="1">
      <alignment horizontal="center"/>
    </xf>
    <xf numFmtId="0" fontId="7" fillId="5" borderId="12" xfId="0" applyFont="1" applyFill="1" applyBorder="1"/>
    <xf numFmtId="0" fontId="6" fillId="5" borderId="13" xfId="0" applyFont="1" applyFill="1" applyBorder="1"/>
    <xf numFmtId="0" fontId="7" fillId="5" borderId="13" xfId="0" applyFont="1" applyFill="1" applyBorder="1"/>
    <xf numFmtId="9" fontId="6" fillId="3" borderId="0" xfId="2" applyFont="1" applyFill="1" applyBorder="1" applyAlignment="1">
      <alignment horizontal="center"/>
    </xf>
    <xf numFmtId="9" fontId="7" fillId="5" borderId="13" xfId="2" applyFont="1" applyFill="1" applyBorder="1" applyAlignment="1">
      <alignment horizontal="center"/>
    </xf>
    <xf numFmtId="166" fontId="6" fillId="0" borderId="91" xfId="1" applyNumberFormat="1" applyFont="1" applyBorder="1"/>
    <xf numFmtId="184" fontId="6" fillId="0" borderId="91" xfId="1" applyNumberFormat="1" applyFont="1" applyBorder="1"/>
    <xf numFmtId="166" fontId="6" fillId="0" borderId="0" xfId="1" applyNumberFormat="1" applyFont="1" applyBorder="1"/>
    <xf numFmtId="184" fontId="6" fillId="0" borderId="0" xfId="1" applyNumberFormat="1" applyFont="1" applyBorder="1"/>
    <xf numFmtId="166" fontId="6" fillId="0" borderId="26" xfId="1" applyNumberFormat="1" applyFont="1" applyBorder="1"/>
    <xf numFmtId="184" fontId="6" fillId="0" borderId="26" xfId="1" applyNumberFormat="1" applyFont="1" applyBorder="1"/>
    <xf numFmtId="179" fontId="6" fillId="0" borderId="7" xfId="1" applyNumberFormat="1" applyFont="1" applyFill="1" applyBorder="1"/>
    <xf numFmtId="10" fontId="6" fillId="0" borderId="7" xfId="0" applyNumberFormat="1" applyFont="1" applyFill="1" applyBorder="1"/>
    <xf numFmtId="180" fontId="6" fillId="0" borderId="7" xfId="3" applyNumberFormat="1" applyFont="1" applyFill="1" applyBorder="1"/>
    <xf numFmtId="180" fontId="6" fillId="0" borderId="9" xfId="3" applyNumberFormat="1" applyFont="1" applyFill="1" applyBorder="1"/>
    <xf numFmtId="9" fontId="6" fillId="3" borderId="7" xfId="2" applyFont="1" applyFill="1" applyBorder="1" applyAlignment="1">
      <alignment vertical="center" wrapText="1"/>
    </xf>
    <xf numFmtId="9" fontId="6" fillId="3" borderId="9" xfId="2" applyFont="1" applyFill="1" applyBorder="1" applyAlignment="1">
      <alignment vertical="center" wrapText="1"/>
    </xf>
    <xf numFmtId="167" fontId="6" fillId="3" borderId="7" xfId="2" applyNumberFormat="1" applyFont="1" applyFill="1" applyBorder="1"/>
    <xf numFmtId="167" fontId="6" fillId="3" borderId="9" xfId="2" applyNumberFormat="1" applyFont="1" applyFill="1" applyBorder="1"/>
    <xf numFmtId="9" fontId="6" fillId="3" borderId="7" xfId="2" applyFont="1" applyFill="1" applyBorder="1"/>
    <xf numFmtId="9" fontId="6" fillId="3" borderId="9" xfId="0" applyNumberFormat="1" applyFont="1" applyFill="1" applyBorder="1"/>
    <xf numFmtId="180" fontId="6" fillId="0" borderId="5" xfId="3" applyNumberFormat="1" applyFont="1" applyFill="1" applyBorder="1"/>
    <xf numFmtId="167" fontId="6" fillId="0" borderId="7" xfId="2" applyNumberFormat="1" applyFont="1" applyFill="1" applyBorder="1"/>
    <xf numFmtId="10" fontId="6" fillId="3" borderId="7" xfId="2" applyNumberFormat="1" applyFont="1" applyFill="1" applyBorder="1"/>
    <xf numFmtId="10" fontId="6" fillId="0" borderId="7" xfId="2" applyNumberFormat="1" applyFont="1" applyFill="1" applyBorder="1"/>
    <xf numFmtId="9" fontId="6" fillId="0" borderId="7" xfId="0" applyNumberFormat="1" applyFont="1" applyFill="1" applyBorder="1"/>
    <xf numFmtId="0" fontId="6" fillId="3" borderId="7" xfId="0" applyFont="1" applyFill="1" applyBorder="1"/>
    <xf numFmtId="0" fontId="6" fillId="3" borderId="7" xfId="0" applyFont="1" applyFill="1" applyBorder="1" applyAlignment="1">
      <alignment horizontal="right"/>
    </xf>
    <xf numFmtId="0" fontId="6" fillId="3" borderId="9" xfId="0" applyFont="1" applyFill="1" applyBorder="1"/>
    <xf numFmtId="0" fontId="9" fillId="6" borderId="27" xfId="7" applyFont="1" applyFill="1" applyBorder="1" applyAlignment="1" applyProtection="1">
      <alignment horizontal="center" vertical="center" wrapText="1"/>
    </xf>
    <xf numFmtId="0" fontId="9" fillId="6" borderId="31" xfId="7" applyFont="1" applyFill="1" applyBorder="1" applyAlignment="1" applyProtection="1">
      <alignment horizontal="center" vertical="center" wrapText="1"/>
    </xf>
    <xf numFmtId="0" fontId="9" fillId="6" borderId="35" xfId="7" applyFont="1" applyFill="1" applyBorder="1" applyAlignment="1" applyProtection="1">
      <alignment horizontal="center" vertical="center" wrapText="1"/>
    </xf>
    <xf numFmtId="0" fontId="74" fillId="3" borderId="0" xfId="0" applyFont="1" applyFill="1" applyBorder="1" applyAlignment="1">
      <alignment horizontal="left" indent="1"/>
    </xf>
    <xf numFmtId="0" fontId="4" fillId="3" borderId="20" xfId="0" applyFont="1" applyFill="1" applyBorder="1" applyAlignment="1">
      <alignment horizontal="center"/>
    </xf>
    <xf numFmtId="0" fontId="4" fillId="3" borderId="74" xfId="0" applyFont="1" applyFill="1" applyBorder="1" applyAlignment="1">
      <alignment horizontal="center"/>
    </xf>
    <xf numFmtId="0" fontId="4" fillId="0" borderId="0" xfId="0" applyFont="1" applyFill="1" applyBorder="1" applyAlignment="1">
      <alignment horizontal="left" indent="1"/>
    </xf>
    <xf numFmtId="0" fontId="3" fillId="0" borderId="0" xfId="0" applyFont="1" applyFill="1" applyAlignment="1">
      <alignment vertical="top" wrapText="1"/>
    </xf>
    <xf numFmtId="0" fontId="3" fillId="3" borderId="0" xfId="0" applyFont="1" applyFill="1" applyAlignment="1">
      <alignment horizontal="left" wrapText="1"/>
    </xf>
    <xf numFmtId="0" fontId="9" fillId="6" borderId="21" xfId="7"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9" fillId="6" borderId="39" xfId="7" applyFont="1" applyFill="1" applyBorder="1" applyAlignment="1" applyProtection="1">
      <alignment horizontal="center" vertical="center"/>
    </xf>
    <xf numFmtId="0" fontId="9" fillId="6" borderId="31" xfId="7" applyFont="1" applyFill="1" applyBorder="1" applyAlignment="1" applyProtection="1">
      <alignment horizontal="center" vertical="center"/>
    </xf>
    <xf numFmtId="0" fontId="9" fillId="6" borderId="35" xfId="7" applyFont="1" applyFill="1" applyBorder="1" applyAlignment="1" applyProtection="1">
      <alignment horizontal="center" vertical="center"/>
    </xf>
    <xf numFmtId="0" fontId="9" fillId="6" borderId="32" xfId="7" applyFont="1" applyFill="1" applyBorder="1" applyAlignment="1" applyProtection="1">
      <alignment horizontal="center" vertical="center"/>
    </xf>
    <xf numFmtId="0" fontId="9" fillId="6" borderId="34" xfId="7" applyFont="1" applyFill="1" applyBorder="1" applyAlignment="1" applyProtection="1">
      <alignment horizontal="center" vertical="center"/>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184" fontId="74" fillId="3" borderId="103" xfId="1" applyNumberFormat="1" applyFont="1" applyFill="1" applyBorder="1" applyAlignment="1">
      <alignment horizontal="center"/>
    </xf>
    <xf numFmtId="184" fontId="74" fillId="3" borderId="104" xfId="1" applyNumberFormat="1" applyFont="1" applyFill="1" applyBorder="1" applyAlignment="1">
      <alignment horizontal="center"/>
    </xf>
    <xf numFmtId="184" fontId="74" fillId="3" borderId="112" xfId="1" applyNumberFormat="1" applyFont="1" applyFill="1" applyBorder="1" applyAlignment="1">
      <alignment horizontal="center"/>
    </xf>
    <xf numFmtId="184" fontId="74" fillId="3" borderId="109" xfId="1" applyNumberFormat="1" applyFont="1" applyFill="1" applyBorder="1" applyAlignment="1">
      <alignment horizontal="center"/>
    </xf>
    <xf numFmtId="184" fontId="3" fillId="3" borderId="4" xfId="1" applyNumberFormat="1" applyFont="1" applyFill="1" applyBorder="1" applyAlignment="1">
      <alignment horizontal="center" vertical="center"/>
    </xf>
    <xf numFmtId="184" fontId="3" fillId="3" borderId="8" xfId="1" applyNumberFormat="1" applyFont="1" applyFill="1" applyBorder="1" applyAlignment="1">
      <alignment horizontal="center" vertical="center"/>
    </xf>
    <xf numFmtId="184" fontId="3" fillId="12" borderId="22" xfId="1" applyNumberFormat="1" applyFont="1" applyFill="1" applyBorder="1" applyAlignment="1">
      <alignment horizontal="center" vertical="center"/>
    </xf>
    <xf numFmtId="184" fontId="3" fillId="12" borderId="26" xfId="1" applyNumberFormat="1" applyFont="1" applyFill="1" applyBorder="1" applyAlignment="1">
      <alignment horizontal="center" vertical="center"/>
    </xf>
    <xf numFmtId="184" fontId="3" fillId="13" borderId="22" xfId="1" applyNumberFormat="1" applyFont="1" applyFill="1" applyBorder="1" applyAlignment="1">
      <alignment horizontal="center" vertical="center"/>
    </xf>
    <xf numFmtId="184" fontId="3" fillId="13" borderId="26" xfId="1" applyNumberFormat="1" applyFont="1" applyFill="1" applyBorder="1" applyAlignment="1">
      <alignment horizontal="center" vertical="center"/>
    </xf>
    <xf numFmtId="184" fontId="3" fillId="15" borderId="22" xfId="1" applyNumberFormat="1" applyFont="1" applyFill="1" applyBorder="1" applyAlignment="1">
      <alignment horizontal="center" vertical="center"/>
    </xf>
    <xf numFmtId="184" fontId="3" fillId="15" borderId="26" xfId="1" applyNumberFormat="1" applyFont="1" applyFill="1" applyBorder="1" applyAlignment="1">
      <alignment horizontal="center" vertical="center"/>
    </xf>
    <xf numFmtId="184" fontId="3" fillId="17" borderId="22" xfId="1" applyNumberFormat="1" applyFont="1" applyFill="1" applyBorder="1" applyAlignment="1">
      <alignment horizontal="center" vertical="center"/>
    </xf>
    <xf numFmtId="184" fontId="3" fillId="17" borderId="26" xfId="1" applyNumberFormat="1" applyFont="1" applyFill="1" applyBorder="1" applyAlignment="1">
      <alignment horizontal="center" vertical="center"/>
    </xf>
    <xf numFmtId="184" fontId="3" fillId="17" borderId="104" xfId="1" applyNumberFormat="1" applyFont="1" applyFill="1" applyBorder="1" applyAlignment="1">
      <alignment horizontal="center" vertical="center"/>
    </xf>
    <xf numFmtId="184" fontId="3" fillId="17" borderId="0" xfId="1" applyNumberFormat="1" applyFont="1" applyFill="1" applyBorder="1" applyAlignment="1">
      <alignment horizontal="center" vertical="center"/>
    </xf>
    <xf numFmtId="184" fontId="3" fillId="17" borderId="107" xfId="1" applyNumberFormat="1" applyFont="1" applyFill="1" applyBorder="1" applyAlignment="1">
      <alignment horizontal="center" vertical="center"/>
    </xf>
    <xf numFmtId="184" fontId="3" fillId="15" borderId="104" xfId="1" applyNumberFormat="1" applyFont="1" applyFill="1" applyBorder="1" applyAlignment="1">
      <alignment horizontal="center" vertical="center"/>
    </xf>
    <xf numFmtId="184" fontId="3" fillId="15" borderId="0" xfId="1" applyNumberFormat="1" applyFont="1" applyFill="1" applyBorder="1" applyAlignment="1">
      <alignment horizontal="center" vertical="center"/>
    </xf>
    <xf numFmtId="184" fontId="3" fillId="15" borderId="107" xfId="1" applyNumberFormat="1" applyFont="1" applyFill="1" applyBorder="1" applyAlignment="1">
      <alignment horizontal="center" vertical="center"/>
    </xf>
    <xf numFmtId="184" fontId="3" fillId="13" borderId="104" xfId="1" applyNumberFormat="1" applyFont="1" applyFill="1" applyBorder="1" applyAlignment="1">
      <alignment horizontal="center" vertical="center"/>
    </xf>
    <xf numFmtId="184" fontId="3" fillId="13" borderId="0" xfId="1" applyNumberFormat="1" applyFont="1" applyFill="1" applyBorder="1" applyAlignment="1">
      <alignment horizontal="center" vertical="center"/>
    </xf>
    <xf numFmtId="184" fontId="3" fillId="13" borderId="107" xfId="1" applyNumberFormat="1" applyFont="1" applyFill="1" applyBorder="1" applyAlignment="1">
      <alignment horizontal="center" vertical="center"/>
    </xf>
    <xf numFmtId="184" fontId="3" fillId="12" borderId="104" xfId="1" applyNumberFormat="1" applyFont="1" applyFill="1" applyBorder="1" applyAlignment="1">
      <alignment horizontal="center" vertical="center"/>
    </xf>
    <xf numFmtId="184" fontId="3" fillId="12" borderId="0" xfId="1" applyNumberFormat="1" applyFont="1" applyFill="1" applyBorder="1" applyAlignment="1">
      <alignment horizontal="center" vertical="center"/>
    </xf>
    <xf numFmtId="184" fontId="3" fillId="12" borderId="107" xfId="1" applyNumberFormat="1" applyFont="1" applyFill="1" applyBorder="1" applyAlignment="1">
      <alignment horizontal="center" vertical="center"/>
    </xf>
    <xf numFmtId="184" fontId="3" fillId="3" borderId="102" xfId="1" applyNumberFormat="1" applyFont="1" applyFill="1" applyBorder="1" applyAlignment="1">
      <alignment horizontal="center" vertical="center"/>
    </xf>
    <xf numFmtId="184" fontId="3" fillId="3" borderId="105" xfId="1" applyNumberFormat="1" applyFont="1" applyFill="1" applyBorder="1" applyAlignment="1">
      <alignment horizontal="center" vertical="center"/>
    </xf>
    <xf numFmtId="184" fontId="3" fillId="3" borderId="106" xfId="1" applyNumberFormat="1" applyFont="1" applyFill="1" applyBorder="1" applyAlignment="1">
      <alignment horizontal="center" vertical="center"/>
    </xf>
    <xf numFmtId="184" fontId="3" fillId="13" borderId="0" xfId="1" applyNumberFormat="1" applyFont="1" applyFill="1" applyAlignment="1">
      <alignment horizontal="center" vertical="center"/>
    </xf>
    <xf numFmtId="184" fontId="3" fillId="3" borderId="6" xfId="1" applyNumberFormat="1" applyFont="1" applyFill="1" applyBorder="1" applyAlignment="1">
      <alignment horizontal="center" vertical="center"/>
    </xf>
    <xf numFmtId="184" fontId="3" fillId="18" borderId="0" xfId="1" applyNumberFormat="1" applyFont="1" applyFill="1" applyBorder="1" applyAlignment="1">
      <alignment horizontal="center" vertical="center"/>
    </xf>
    <xf numFmtId="184" fontId="3" fillId="18" borderId="107" xfId="1" applyNumberFormat="1" applyFont="1" applyFill="1" applyBorder="1" applyAlignment="1">
      <alignment horizontal="center" vertical="center"/>
    </xf>
    <xf numFmtId="0" fontId="9" fillId="6" borderId="27" xfId="7" applyFont="1" applyFill="1" applyBorder="1" applyAlignment="1" applyProtection="1">
      <alignment horizontal="center" vertical="center"/>
    </xf>
    <xf numFmtId="184" fontId="3" fillId="17" borderId="86" xfId="1" applyNumberFormat="1" applyFont="1" applyFill="1" applyBorder="1" applyAlignment="1">
      <alignment horizontal="center" vertical="center"/>
    </xf>
    <xf numFmtId="184" fontId="3" fillId="15" borderId="86" xfId="1" applyNumberFormat="1" applyFont="1" applyFill="1" applyBorder="1" applyAlignment="1">
      <alignment horizontal="center" vertical="center"/>
    </xf>
    <xf numFmtId="184" fontId="3" fillId="3" borderId="97" xfId="1" applyNumberFormat="1" applyFont="1" applyFill="1" applyBorder="1" applyAlignment="1">
      <alignment horizontal="center" vertical="center"/>
    </xf>
    <xf numFmtId="184" fontId="3" fillId="12" borderId="86" xfId="1" applyNumberFormat="1" applyFont="1" applyFill="1" applyBorder="1" applyAlignment="1">
      <alignment horizontal="center" vertical="center"/>
    </xf>
    <xf numFmtId="184" fontId="3" fillId="13" borderId="86" xfId="1" applyNumberFormat="1" applyFont="1" applyFill="1" applyBorder="1" applyAlignment="1">
      <alignment horizontal="center" vertical="center"/>
    </xf>
  </cellXfs>
  <cellStyles count="1248">
    <cellStyle name="~CALC Amount" xfId="32"/>
    <cellStyle name="~CALC Amount 2" xfId="79"/>
    <cellStyle name="~Total Sub" xfId="33"/>
    <cellStyle name="~Total Sub 2" xfId="80"/>
    <cellStyle name="20 % - Accent1 2" xfId="34"/>
    <cellStyle name="20 % - Accent2 2" xfId="35"/>
    <cellStyle name="20 % - Accent3 2" xfId="36"/>
    <cellStyle name="20 % - Accent4 2" xfId="37"/>
    <cellStyle name="20 % - Accent5 2" xfId="38"/>
    <cellStyle name="20 % - Accent6 2" xfId="39"/>
    <cellStyle name="20% - Accent1" xfId="91"/>
    <cellStyle name="20% - Accent1 10 2" xfId="92"/>
    <cellStyle name="20% - Accent1 11 2" xfId="93"/>
    <cellStyle name="20% - Accent1 12 2" xfId="94"/>
    <cellStyle name="20% - Accent1 13 2" xfId="95"/>
    <cellStyle name="20% - Accent1 2" xfId="96"/>
    <cellStyle name="20% - Accent1 2 2" xfId="97"/>
    <cellStyle name="20% - Accent1 2 2 2" xfId="98"/>
    <cellStyle name="20% - Accent1 2 2 2 2" xfId="99"/>
    <cellStyle name="20% - Accent1 2 2 3" xfId="100"/>
    <cellStyle name="20% - Accent1 2 3" xfId="101"/>
    <cellStyle name="20% - Accent1 2 3 2" xfId="102"/>
    <cellStyle name="20% - Accent1 3" xfId="103"/>
    <cellStyle name="20% - Accent1 4" xfId="104"/>
    <cellStyle name="20% - Accent1 5" xfId="105"/>
    <cellStyle name="20% - Accent1 5 2" xfId="106"/>
    <cellStyle name="20% - Accent1 6 2" xfId="107"/>
    <cellStyle name="20% - Accent1 7 2" xfId="108"/>
    <cellStyle name="20% - Accent1 8 2" xfId="109"/>
    <cellStyle name="20% - Accent1 9 2" xfId="110"/>
    <cellStyle name="20% - Accent1_NLBU -OPERATIONS  FINANCIAL REPORT - FEB10_REV Tanya" xfId="111"/>
    <cellStyle name="20% - Accent2" xfId="112"/>
    <cellStyle name="20% - Accent2 10 2" xfId="113"/>
    <cellStyle name="20% - Accent2 11 2" xfId="114"/>
    <cellStyle name="20% - Accent2 12 2" xfId="115"/>
    <cellStyle name="20% - Accent2 13 2" xfId="116"/>
    <cellStyle name="20% - Accent2 2" xfId="117"/>
    <cellStyle name="20% - Accent2 2 2" xfId="118"/>
    <cellStyle name="20% - Accent2 2 2 2" xfId="119"/>
    <cellStyle name="20% - Accent2 2 2 2 2" xfId="120"/>
    <cellStyle name="20% - Accent2 2 2 3" xfId="121"/>
    <cellStyle name="20% - Accent2 2 3" xfId="122"/>
    <cellStyle name="20% - Accent2 2 3 2" xfId="123"/>
    <cellStyle name="20% - Accent2 3" xfId="124"/>
    <cellStyle name="20% - Accent2 4" xfId="125"/>
    <cellStyle name="20% - Accent2 5" xfId="126"/>
    <cellStyle name="20% - Accent2 5 2" xfId="127"/>
    <cellStyle name="20% - Accent2 6 2" xfId="128"/>
    <cellStyle name="20% - Accent2 7 2" xfId="129"/>
    <cellStyle name="20% - Accent2 8 2" xfId="130"/>
    <cellStyle name="20% - Accent2 9 2" xfId="131"/>
    <cellStyle name="20% - Accent2_NLBU -OPERATIONS  FINANCIAL REPORT - FEB10_REV Tanya" xfId="132"/>
    <cellStyle name="20% - Accent3" xfId="133"/>
    <cellStyle name="20% - Accent3 10 2" xfId="134"/>
    <cellStyle name="20% - Accent3 11 2" xfId="135"/>
    <cellStyle name="20% - Accent3 12 2" xfId="136"/>
    <cellStyle name="20% - Accent3 13 2" xfId="137"/>
    <cellStyle name="20% - Accent3 2" xfId="138"/>
    <cellStyle name="20% - Accent3 2 2" xfId="139"/>
    <cellStyle name="20% - Accent3 2 2 2" xfId="140"/>
    <cellStyle name="20% - Accent3 2 2 2 2" xfId="141"/>
    <cellStyle name="20% - Accent3 2 2 3" xfId="142"/>
    <cellStyle name="20% - Accent3 2 3" xfId="143"/>
    <cellStyle name="20% - Accent3 2 3 2" xfId="144"/>
    <cellStyle name="20% - Accent3 3" xfId="145"/>
    <cellStyle name="20% - Accent3 4" xfId="146"/>
    <cellStyle name="20% - Accent3 5" xfId="147"/>
    <cellStyle name="20% - Accent3 5 2" xfId="148"/>
    <cellStyle name="20% - Accent3 6 2" xfId="149"/>
    <cellStyle name="20% - Accent3 7 2" xfId="150"/>
    <cellStyle name="20% - Accent3 8 2" xfId="151"/>
    <cellStyle name="20% - Accent3 9 2" xfId="152"/>
    <cellStyle name="20% - Accent3_NLBU -OPERATIONS  FINANCIAL REPORT - FEB10_REV Tanya" xfId="153"/>
    <cellStyle name="20% - Accent4" xfId="154"/>
    <cellStyle name="20% - Accent4 10 2" xfId="155"/>
    <cellStyle name="20% - Accent4 11 2" xfId="156"/>
    <cellStyle name="20% - Accent4 12 2" xfId="157"/>
    <cellStyle name="20% - Accent4 13 2" xfId="158"/>
    <cellStyle name="20% - Accent4 2" xfId="159"/>
    <cellStyle name="20% - Accent4 2 2" xfId="160"/>
    <cellStyle name="20% - Accent4 2 2 2" xfId="161"/>
    <cellStyle name="20% - Accent4 2 2 2 2" xfId="162"/>
    <cellStyle name="20% - Accent4 2 2 3" xfId="163"/>
    <cellStyle name="20% - Accent4 2 3" xfId="164"/>
    <cellStyle name="20% - Accent4 2 3 2" xfId="165"/>
    <cellStyle name="20% - Accent4 3" xfId="166"/>
    <cellStyle name="20% - Accent4 4" xfId="167"/>
    <cellStyle name="20% - Accent4 5" xfId="168"/>
    <cellStyle name="20% - Accent4 5 2" xfId="169"/>
    <cellStyle name="20% - Accent4 6 2" xfId="170"/>
    <cellStyle name="20% - Accent4 7 2" xfId="171"/>
    <cellStyle name="20% - Accent4 8 2" xfId="172"/>
    <cellStyle name="20% - Accent4 9 2" xfId="173"/>
    <cellStyle name="20% - Accent4_NLBU -OPERATIONS  FINANCIAL REPORT - FEB10_REV Tanya" xfId="174"/>
    <cellStyle name="20% - Accent5" xfId="175"/>
    <cellStyle name="20% - Accent5 10 2" xfId="176"/>
    <cellStyle name="20% - Accent5 11 2" xfId="177"/>
    <cellStyle name="20% - Accent5 12 2" xfId="178"/>
    <cellStyle name="20% - Accent5 13 2" xfId="179"/>
    <cellStyle name="20% - Accent5 2" xfId="180"/>
    <cellStyle name="20% - Accent5 2 2" xfId="181"/>
    <cellStyle name="20% - Accent5 2 2 2" xfId="182"/>
    <cellStyle name="20% - Accent5 2 2 2 2" xfId="183"/>
    <cellStyle name="20% - Accent5 2 2 3" xfId="184"/>
    <cellStyle name="20% - Accent5 2 3" xfId="185"/>
    <cellStyle name="20% - Accent5 2 3 2" xfId="186"/>
    <cellStyle name="20% - Accent5 3" xfId="187"/>
    <cellStyle name="20% - Accent5 4" xfId="188"/>
    <cellStyle name="20% - Accent5 5" xfId="189"/>
    <cellStyle name="20% - Accent5 5 2" xfId="190"/>
    <cellStyle name="20% - Accent5 6 2" xfId="191"/>
    <cellStyle name="20% - Accent5 7 2" xfId="192"/>
    <cellStyle name="20% - Accent5 8 2" xfId="193"/>
    <cellStyle name="20% - Accent5 9 2" xfId="194"/>
    <cellStyle name="20% - Accent5_NLBU -OPERATIONS  FINANCIAL REPORT - FEB10_REV Tanya" xfId="195"/>
    <cellStyle name="20% - Accent6" xfId="196"/>
    <cellStyle name="20% - Accent6 10 2" xfId="197"/>
    <cellStyle name="20% - Accent6 11 2" xfId="198"/>
    <cellStyle name="20% - Accent6 12 2" xfId="199"/>
    <cellStyle name="20% - Accent6 13 2" xfId="200"/>
    <cellStyle name="20% - Accent6 2" xfId="201"/>
    <cellStyle name="20% - Accent6 2 2" xfId="202"/>
    <cellStyle name="20% - Accent6 2 2 2" xfId="203"/>
    <cellStyle name="20% - Accent6 2 2 2 2" xfId="204"/>
    <cellStyle name="20% - Accent6 2 2 3" xfId="205"/>
    <cellStyle name="20% - Accent6 2 3" xfId="206"/>
    <cellStyle name="20% - Accent6 2 3 2" xfId="207"/>
    <cellStyle name="20% - Accent6 3" xfId="208"/>
    <cellStyle name="20% - Accent6 4" xfId="209"/>
    <cellStyle name="20% - Accent6 5" xfId="210"/>
    <cellStyle name="20% - Accent6 5 2" xfId="211"/>
    <cellStyle name="20% - Accent6 6 2" xfId="212"/>
    <cellStyle name="20% - Accent6 7 2" xfId="213"/>
    <cellStyle name="20% - Accent6 8 2" xfId="214"/>
    <cellStyle name="20% - Accent6 9 2" xfId="215"/>
    <cellStyle name="20% - Accent6_NLBU -OPERATIONS  FINANCIAL REPORT - FEB10_REV Tanya" xfId="216"/>
    <cellStyle name="40 % - Accent1 2" xfId="40"/>
    <cellStyle name="40 % - Accent2 2" xfId="41"/>
    <cellStyle name="40 % - Accent3 2" xfId="42"/>
    <cellStyle name="40 % - Accent4 2" xfId="43"/>
    <cellStyle name="40 % - Accent5 2" xfId="44"/>
    <cellStyle name="40 % - Accent6 2" xfId="45"/>
    <cellStyle name="40% - Accent1" xfId="217"/>
    <cellStyle name="40% - Accent1 10 2" xfId="218"/>
    <cellStyle name="40% - Accent1 11 2" xfId="219"/>
    <cellStyle name="40% - Accent1 12 2" xfId="220"/>
    <cellStyle name="40% - Accent1 13 2" xfId="221"/>
    <cellStyle name="40% - Accent1 2" xfId="222"/>
    <cellStyle name="40% - Accent1 2 2" xfId="223"/>
    <cellStyle name="40% - Accent1 2 2 2" xfId="224"/>
    <cellStyle name="40% - Accent1 2 2 2 2" xfId="225"/>
    <cellStyle name="40% - Accent1 2 2 3" xfId="226"/>
    <cellStyle name="40% - Accent1 2 3" xfId="227"/>
    <cellStyle name="40% - Accent1 2 3 2" xfId="228"/>
    <cellStyle name="40% - Accent1 3" xfId="229"/>
    <cellStyle name="40% - Accent1 4" xfId="230"/>
    <cellStyle name="40% - Accent1 5" xfId="231"/>
    <cellStyle name="40% - Accent1 5 2" xfId="232"/>
    <cellStyle name="40% - Accent1 6 2" xfId="233"/>
    <cellStyle name="40% - Accent1 7 2" xfId="234"/>
    <cellStyle name="40% - Accent1 8 2" xfId="235"/>
    <cellStyle name="40% - Accent1 9 2" xfId="236"/>
    <cellStyle name="40% - Accent1_NLBU -OPERATIONS  FINANCIAL REPORT - FEB10_REV Tanya" xfId="237"/>
    <cellStyle name="40% - Accent2" xfId="238"/>
    <cellStyle name="40% - Accent2 10 2" xfId="239"/>
    <cellStyle name="40% - Accent2 11 2" xfId="240"/>
    <cellStyle name="40% - Accent2 12 2" xfId="241"/>
    <cellStyle name="40% - Accent2 13 2" xfId="242"/>
    <cellStyle name="40% - Accent2 2" xfId="243"/>
    <cellStyle name="40% - Accent2 2 2" xfId="244"/>
    <cellStyle name="40% - Accent2 2 2 2" xfId="245"/>
    <cellStyle name="40% - Accent2 2 2 2 2" xfId="246"/>
    <cellStyle name="40% - Accent2 2 2 3" xfId="247"/>
    <cellStyle name="40% - Accent2 2 3" xfId="248"/>
    <cellStyle name="40% - Accent2 2 3 2" xfId="249"/>
    <cellStyle name="40% - Accent2 3" xfId="250"/>
    <cellStyle name="40% - Accent2 4" xfId="251"/>
    <cellStyle name="40% - Accent2 5" xfId="252"/>
    <cellStyle name="40% - Accent2 5 2" xfId="253"/>
    <cellStyle name="40% - Accent2 6 2" xfId="254"/>
    <cellStyle name="40% - Accent2 7 2" xfId="255"/>
    <cellStyle name="40% - Accent2 8 2" xfId="256"/>
    <cellStyle name="40% - Accent2 9 2" xfId="257"/>
    <cellStyle name="40% - Accent2_NLBU -OPERATIONS  FINANCIAL REPORT - FEB10_REV Tanya" xfId="258"/>
    <cellStyle name="40% - Accent3" xfId="259"/>
    <cellStyle name="40% - Accent3 10 2" xfId="260"/>
    <cellStyle name="40% - Accent3 11 2" xfId="261"/>
    <cellStyle name="40% - Accent3 12 2" xfId="262"/>
    <cellStyle name="40% - Accent3 13 2" xfId="263"/>
    <cellStyle name="40% - Accent3 2" xfId="264"/>
    <cellStyle name="40% - Accent3 2 2" xfId="265"/>
    <cellStyle name="40% - Accent3 2 2 2" xfId="266"/>
    <cellStyle name="40% - Accent3 2 2 2 2" xfId="267"/>
    <cellStyle name="40% - Accent3 2 2 3" xfId="268"/>
    <cellStyle name="40% - Accent3 2 3" xfId="269"/>
    <cellStyle name="40% - Accent3 2 3 2" xfId="270"/>
    <cellStyle name="40% - Accent3 3" xfId="271"/>
    <cellStyle name="40% - Accent3 4" xfId="272"/>
    <cellStyle name="40% - Accent3 5" xfId="273"/>
    <cellStyle name="40% - Accent3 5 2" xfId="274"/>
    <cellStyle name="40% - Accent3 6 2" xfId="275"/>
    <cellStyle name="40% - Accent3 7 2" xfId="276"/>
    <cellStyle name="40% - Accent3 8 2" xfId="277"/>
    <cellStyle name="40% - Accent3 9 2" xfId="278"/>
    <cellStyle name="40% - Accent3_NLBU -OPERATIONS  FINANCIAL REPORT - FEB10_REV Tanya" xfId="279"/>
    <cellStyle name="40% - Accent4" xfId="280"/>
    <cellStyle name="40% - Accent4 10 2" xfId="281"/>
    <cellStyle name="40% - Accent4 11 2" xfId="282"/>
    <cellStyle name="40% - Accent4 12 2" xfId="283"/>
    <cellStyle name="40% - Accent4 13 2" xfId="284"/>
    <cellStyle name="40% - Accent4 2" xfId="285"/>
    <cellStyle name="40% - Accent4 2 2" xfId="286"/>
    <cellStyle name="40% - Accent4 2 2 2" xfId="287"/>
    <cellStyle name="40% - Accent4 2 2 2 2" xfId="288"/>
    <cellStyle name="40% - Accent4 2 2 3" xfId="289"/>
    <cellStyle name="40% - Accent4 2 3" xfId="290"/>
    <cellStyle name="40% - Accent4 2 3 2" xfId="291"/>
    <cellStyle name="40% - Accent4 3" xfId="292"/>
    <cellStyle name="40% - Accent4 4" xfId="293"/>
    <cellStyle name="40% - Accent4 5" xfId="294"/>
    <cellStyle name="40% - Accent4 5 2" xfId="295"/>
    <cellStyle name="40% - Accent4 6 2" xfId="296"/>
    <cellStyle name="40% - Accent4 7 2" xfId="297"/>
    <cellStyle name="40% - Accent4 8 2" xfId="298"/>
    <cellStyle name="40% - Accent4 9 2" xfId="299"/>
    <cellStyle name="40% - Accent4_NLBU -OPERATIONS  FINANCIAL REPORT - FEB10_REV Tanya" xfId="300"/>
    <cellStyle name="40% - Accent5" xfId="301"/>
    <cellStyle name="40% - Accent5 10 2" xfId="302"/>
    <cellStyle name="40% - Accent5 11 2" xfId="303"/>
    <cellStyle name="40% - Accent5 12 2" xfId="304"/>
    <cellStyle name="40% - Accent5 13 2" xfId="305"/>
    <cellStyle name="40% - Accent5 2" xfId="306"/>
    <cellStyle name="40% - Accent5 2 2" xfId="307"/>
    <cellStyle name="40% - Accent5 2 2 2" xfId="308"/>
    <cellStyle name="40% - Accent5 2 2 2 2" xfId="309"/>
    <cellStyle name="40% - Accent5 2 2 3" xfId="310"/>
    <cellStyle name="40% - Accent5 2 3" xfId="311"/>
    <cellStyle name="40% - Accent5 2 3 2" xfId="312"/>
    <cellStyle name="40% - Accent5 3" xfId="313"/>
    <cellStyle name="40% - Accent5 4" xfId="314"/>
    <cellStyle name="40% - Accent5 5" xfId="315"/>
    <cellStyle name="40% - Accent5 5 2" xfId="316"/>
    <cellStyle name="40% - Accent5 6 2" xfId="317"/>
    <cellStyle name="40% - Accent5 7 2" xfId="318"/>
    <cellStyle name="40% - Accent5 8 2" xfId="319"/>
    <cellStyle name="40% - Accent5 9 2" xfId="320"/>
    <cellStyle name="40% - Accent5_NLBU -OPERATIONS  FINANCIAL REPORT - FEB10_REV Tanya" xfId="321"/>
    <cellStyle name="40% - Accent6" xfId="322"/>
    <cellStyle name="40% - Accent6 10 2" xfId="323"/>
    <cellStyle name="40% - Accent6 11 2" xfId="324"/>
    <cellStyle name="40% - Accent6 12 2" xfId="325"/>
    <cellStyle name="40% - Accent6 13 2" xfId="326"/>
    <cellStyle name="40% - Accent6 2" xfId="327"/>
    <cellStyle name="40% - Accent6 2 2" xfId="328"/>
    <cellStyle name="40% - Accent6 2 2 2" xfId="329"/>
    <cellStyle name="40% - Accent6 2 2 2 2" xfId="330"/>
    <cellStyle name="40% - Accent6 2 2 3" xfId="331"/>
    <cellStyle name="40% - Accent6 2 3" xfId="332"/>
    <cellStyle name="40% - Accent6 2 3 2" xfId="333"/>
    <cellStyle name="40% - Accent6 3" xfId="334"/>
    <cellStyle name="40% - Accent6 4" xfId="335"/>
    <cellStyle name="40% - Accent6 5" xfId="336"/>
    <cellStyle name="40% - Accent6 5 2" xfId="337"/>
    <cellStyle name="40% - Accent6 6 2" xfId="338"/>
    <cellStyle name="40% - Accent6 7 2" xfId="339"/>
    <cellStyle name="40% - Accent6 8 2" xfId="340"/>
    <cellStyle name="40% - Accent6 9 2" xfId="341"/>
    <cellStyle name="40% - Accent6_NLBU -OPERATIONS  FINANCIAL REPORT - FEB10_REV Tanya" xfId="342"/>
    <cellStyle name="60 % - Accent1 2" xfId="46"/>
    <cellStyle name="60 % - Accent2 2" xfId="47"/>
    <cellStyle name="60 % - Accent3 2" xfId="48"/>
    <cellStyle name="60 % - Accent4 2" xfId="49"/>
    <cellStyle name="60 % - Accent5 2" xfId="50"/>
    <cellStyle name="60 % - Accent6 2" xfId="51"/>
    <cellStyle name="60% - Accent1" xfId="343"/>
    <cellStyle name="60% - Accent1 10 2" xfId="344"/>
    <cellStyle name="60% - Accent1 11 2" xfId="345"/>
    <cellStyle name="60% - Accent1 12 2" xfId="346"/>
    <cellStyle name="60% - Accent1 13 2" xfId="347"/>
    <cellStyle name="60% - Accent1 2" xfId="348"/>
    <cellStyle name="60% - Accent1 2 2" xfId="349"/>
    <cellStyle name="60% - Accent1 2 2 2" xfId="350"/>
    <cellStyle name="60% - Accent1 2 2 2 2" xfId="351"/>
    <cellStyle name="60% - Accent1 2 2 3" xfId="352"/>
    <cellStyle name="60% - Accent1 2 3" xfId="353"/>
    <cellStyle name="60% - Accent1 2 3 2" xfId="354"/>
    <cellStyle name="60% - Accent1 3" xfId="355"/>
    <cellStyle name="60% - Accent1 4" xfId="356"/>
    <cellStyle name="60% - Accent1 5" xfId="357"/>
    <cellStyle name="60% - Accent1 5 2" xfId="358"/>
    <cellStyle name="60% - Accent1 6 2" xfId="359"/>
    <cellStyle name="60% - Accent1 7 2" xfId="360"/>
    <cellStyle name="60% - Accent1 8 2" xfId="361"/>
    <cellStyle name="60% - Accent1 9 2" xfId="362"/>
    <cellStyle name="60% - Accent1_NLBU -OPERATIONS  FINANCIAL REPORT - FEB10_REV Tanya" xfId="363"/>
    <cellStyle name="60% - Accent2" xfId="364"/>
    <cellStyle name="60% - Accent2 10 2" xfId="365"/>
    <cellStyle name="60% - Accent2 11 2" xfId="366"/>
    <cellStyle name="60% - Accent2 12 2" xfId="367"/>
    <cellStyle name="60% - Accent2 13 2" xfId="368"/>
    <cellStyle name="60% - Accent2 2" xfId="369"/>
    <cellStyle name="60% - Accent2 2 2" xfId="370"/>
    <cellStyle name="60% - Accent2 2 2 2" xfId="371"/>
    <cellStyle name="60% - Accent2 2 2 2 2" xfId="372"/>
    <cellStyle name="60% - Accent2 2 2 3" xfId="373"/>
    <cellStyle name="60% - Accent2 2 3" xfId="374"/>
    <cellStyle name="60% - Accent2 2 3 2" xfId="375"/>
    <cellStyle name="60% - Accent2 3" xfId="376"/>
    <cellStyle name="60% - Accent2 4" xfId="377"/>
    <cellStyle name="60% - Accent2 5" xfId="378"/>
    <cellStyle name="60% - Accent2 5 2" xfId="379"/>
    <cellStyle name="60% - Accent2 6 2" xfId="380"/>
    <cellStyle name="60% - Accent2 7 2" xfId="381"/>
    <cellStyle name="60% - Accent2 8 2" xfId="382"/>
    <cellStyle name="60% - Accent2 9 2" xfId="383"/>
    <cellStyle name="60% - Accent2_NLBU -OPERATIONS  FINANCIAL REPORT - FEB10_REV Tanya" xfId="384"/>
    <cellStyle name="60% - Accent3" xfId="385"/>
    <cellStyle name="60% - Accent3 10 2" xfId="386"/>
    <cellStyle name="60% - Accent3 11 2" xfId="387"/>
    <cellStyle name="60% - Accent3 12 2" xfId="388"/>
    <cellStyle name="60% - Accent3 13 2" xfId="389"/>
    <cellStyle name="60% - Accent3 2" xfId="390"/>
    <cellStyle name="60% - Accent3 2 2" xfId="391"/>
    <cellStyle name="60% - Accent3 2 2 2" xfId="392"/>
    <cellStyle name="60% - Accent3 2 2 2 2" xfId="393"/>
    <cellStyle name="60% - Accent3 2 2 3" xfId="394"/>
    <cellStyle name="60% - Accent3 2 3" xfId="395"/>
    <cellStyle name="60% - Accent3 2 3 2" xfId="396"/>
    <cellStyle name="60% - Accent3 3" xfId="397"/>
    <cellStyle name="60% - Accent3 4" xfId="398"/>
    <cellStyle name="60% - Accent3 5" xfId="399"/>
    <cellStyle name="60% - Accent3 5 2" xfId="400"/>
    <cellStyle name="60% - Accent3 6 2" xfId="401"/>
    <cellStyle name="60% - Accent3 7 2" xfId="402"/>
    <cellStyle name="60% - Accent3 8 2" xfId="403"/>
    <cellStyle name="60% - Accent3 9 2" xfId="404"/>
    <cellStyle name="60% - Accent3_NLBU -OPERATIONS  FINANCIAL REPORT - FEB10_REV Tanya" xfId="405"/>
    <cellStyle name="60% - Accent4" xfId="406"/>
    <cellStyle name="60% - Accent4 10 2" xfId="407"/>
    <cellStyle name="60% - Accent4 11 2" xfId="408"/>
    <cellStyle name="60% - Accent4 12 2" xfId="409"/>
    <cellStyle name="60% - Accent4 13 2" xfId="410"/>
    <cellStyle name="60% - Accent4 2" xfId="411"/>
    <cellStyle name="60% - Accent4 2 2" xfId="412"/>
    <cellStyle name="60% - Accent4 2 2 2" xfId="413"/>
    <cellStyle name="60% - Accent4 2 2 2 2" xfId="414"/>
    <cellStyle name="60% - Accent4 2 2 3" xfId="415"/>
    <cellStyle name="60% - Accent4 2 3" xfId="416"/>
    <cellStyle name="60% - Accent4 2 3 2" xfId="417"/>
    <cellStyle name="60% - Accent4 3" xfId="418"/>
    <cellStyle name="60% - Accent4 4" xfId="419"/>
    <cellStyle name="60% - Accent4 5" xfId="420"/>
    <cellStyle name="60% - Accent4 5 2" xfId="421"/>
    <cellStyle name="60% - Accent4 6 2" xfId="422"/>
    <cellStyle name="60% - Accent4 7 2" xfId="423"/>
    <cellStyle name="60% - Accent4 8 2" xfId="424"/>
    <cellStyle name="60% - Accent4 9 2" xfId="425"/>
    <cellStyle name="60% - Accent4_NLBU -OPERATIONS  FINANCIAL REPORT - FEB10_REV Tanya" xfId="426"/>
    <cellStyle name="60% - Accent5" xfId="427"/>
    <cellStyle name="60% - Accent5 10 2" xfId="428"/>
    <cellStyle name="60% - Accent5 11 2" xfId="429"/>
    <cellStyle name="60% - Accent5 12 2" xfId="430"/>
    <cellStyle name="60% - Accent5 13 2" xfId="431"/>
    <cellStyle name="60% - Accent5 2" xfId="432"/>
    <cellStyle name="60% - Accent5 2 2" xfId="433"/>
    <cellStyle name="60% - Accent5 2 2 2" xfId="434"/>
    <cellStyle name="60% - Accent5 2 2 2 2" xfId="435"/>
    <cellStyle name="60% - Accent5 2 2 3" xfId="436"/>
    <cellStyle name="60% - Accent5 2 3" xfId="437"/>
    <cellStyle name="60% - Accent5 2 3 2" xfId="438"/>
    <cellStyle name="60% - Accent5 3" xfId="439"/>
    <cellStyle name="60% - Accent5 4" xfId="440"/>
    <cellStyle name="60% - Accent5 5" xfId="441"/>
    <cellStyle name="60% - Accent5 5 2" xfId="442"/>
    <cellStyle name="60% - Accent5 6 2" xfId="443"/>
    <cellStyle name="60% - Accent5 7 2" xfId="444"/>
    <cellStyle name="60% - Accent5 8 2" xfId="445"/>
    <cellStyle name="60% - Accent5 9 2" xfId="446"/>
    <cellStyle name="60% - Accent5_NLBU -OPERATIONS  FINANCIAL REPORT - FEB10_REV Tanya" xfId="447"/>
    <cellStyle name="60% - Accent6" xfId="448"/>
    <cellStyle name="60% - Accent6 10 2" xfId="449"/>
    <cellStyle name="60% - Accent6 11 2" xfId="450"/>
    <cellStyle name="60% - Accent6 12 2" xfId="451"/>
    <cellStyle name="60% - Accent6 13 2" xfId="452"/>
    <cellStyle name="60% - Accent6 2" xfId="453"/>
    <cellStyle name="60% - Accent6 2 2" xfId="454"/>
    <cellStyle name="60% - Accent6 2 2 2" xfId="455"/>
    <cellStyle name="60% - Accent6 2 2 2 2" xfId="456"/>
    <cellStyle name="60% - Accent6 2 2 3" xfId="457"/>
    <cellStyle name="60% - Accent6 2 3" xfId="458"/>
    <cellStyle name="60% - Accent6 2 3 2" xfId="459"/>
    <cellStyle name="60% - Accent6 3" xfId="460"/>
    <cellStyle name="60% - Accent6 4" xfId="461"/>
    <cellStyle name="60% - Accent6 5" xfId="462"/>
    <cellStyle name="60% - Accent6 5 2" xfId="463"/>
    <cellStyle name="60% - Accent6 6 2" xfId="464"/>
    <cellStyle name="60% - Accent6 7 2" xfId="465"/>
    <cellStyle name="60% - Accent6 8 2" xfId="466"/>
    <cellStyle name="60% - Accent6 9 2" xfId="467"/>
    <cellStyle name="60% - Accent6_NLBU -OPERATIONS  FINANCIAL REPORT - FEB10_REV Tanya" xfId="468"/>
    <cellStyle name="Accent1 10 2" xfId="469"/>
    <cellStyle name="Accent1 11 2" xfId="470"/>
    <cellStyle name="Accent1 12 2" xfId="471"/>
    <cellStyle name="Accent1 13 2" xfId="472"/>
    <cellStyle name="Accent1 2" xfId="473"/>
    <cellStyle name="Accent1 2 2" xfId="474"/>
    <cellStyle name="Accent1 2 2 2" xfId="475"/>
    <cellStyle name="Accent1 2 2 2 2" xfId="476"/>
    <cellStyle name="Accent1 2 2 3" xfId="477"/>
    <cellStyle name="Accent1 2 3" xfId="478"/>
    <cellStyle name="Accent1 2 3 2" xfId="479"/>
    <cellStyle name="Accent1 3" xfId="480"/>
    <cellStyle name="Accent1 4" xfId="481"/>
    <cellStyle name="Accent1 5" xfId="482"/>
    <cellStyle name="Accent1 5 2" xfId="483"/>
    <cellStyle name="Accent1 6" xfId="52"/>
    <cellStyle name="Accent1 6 2" xfId="484"/>
    <cellStyle name="Accent1 7 2" xfId="485"/>
    <cellStyle name="Accent1 8 2" xfId="486"/>
    <cellStyle name="Accent1 9 2" xfId="487"/>
    <cellStyle name="Accent2 10 2" xfId="488"/>
    <cellStyle name="Accent2 11 2" xfId="489"/>
    <cellStyle name="Accent2 12 2" xfId="490"/>
    <cellStyle name="Accent2 13 2" xfId="491"/>
    <cellStyle name="Accent2 2" xfId="492"/>
    <cellStyle name="Accent2 2 2" xfId="493"/>
    <cellStyle name="Accent2 2 2 2" xfId="494"/>
    <cellStyle name="Accent2 2 2 2 2" xfId="495"/>
    <cellStyle name="Accent2 2 2 3" xfId="496"/>
    <cellStyle name="Accent2 2 3" xfId="497"/>
    <cellStyle name="Accent2 2 3 2" xfId="498"/>
    <cellStyle name="Accent2 3" xfId="499"/>
    <cellStyle name="Accent2 4" xfId="500"/>
    <cellStyle name="Accent2 5" xfId="501"/>
    <cellStyle name="Accent2 5 2" xfId="502"/>
    <cellStyle name="Accent2 6" xfId="53"/>
    <cellStyle name="Accent2 6 2" xfId="503"/>
    <cellStyle name="Accent2 7 2" xfId="504"/>
    <cellStyle name="Accent2 8 2" xfId="505"/>
    <cellStyle name="Accent2 9 2" xfId="506"/>
    <cellStyle name="Accent3 10 2" xfId="507"/>
    <cellStyle name="Accent3 11 2" xfId="508"/>
    <cellStyle name="Accent3 12 2" xfId="509"/>
    <cellStyle name="Accent3 13 2" xfId="510"/>
    <cellStyle name="Accent3 2" xfId="511"/>
    <cellStyle name="Accent3 2 2" xfId="512"/>
    <cellStyle name="Accent3 2 2 2" xfId="513"/>
    <cellStyle name="Accent3 2 2 2 2" xfId="514"/>
    <cellStyle name="Accent3 2 2 3" xfId="515"/>
    <cellStyle name="Accent3 2 3" xfId="516"/>
    <cellStyle name="Accent3 2 3 2" xfId="517"/>
    <cellStyle name="Accent3 3" xfId="518"/>
    <cellStyle name="Accent3 4" xfId="519"/>
    <cellStyle name="Accent3 5" xfId="520"/>
    <cellStyle name="Accent3 5 2" xfId="521"/>
    <cellStyle name="Accent3 6" xfId="54"/>
    <cellStyle name="Accent3 6 2" xfId="522"/>
    <cellStyle name="Accent3 7 2" xfId="523"/>
    <cellStyle name="Accent3 8 2" xfId="524"/>
    <cellStyle name="Accent3 9 2" xfId="525"/>
    <cellStyle name="Accent4 10 2" xfId="526"/>
    <cellStyle name="Accent4 11 2" xfId="527"/>
    <cellStyle name="Accent4 12 2" xfId="528"/>
    <cellStyle name="Accent4 13 2" xfId="529"/>
    <cellStyle name="Accent4 2" xfId="530"/>
    <cellStyle name="Accent4 2 2" xfId="531"/>
    <cellStyle name="Accent4 2 2 2" xfId="532"/>
    <cellStyle name="Accent4 2 2 2 2" xfId="533"/>
    <cellStyle name="Accent4 2 2 3" xfId="534"/>
    <cellStyle name="Accent4 2 3" xfId="535"/>
    <cellStyle name="Accent4 2 3 2" xfId="536"/>
    <cellStyle name="Accent4 3" xfId="537"/>
    <cellStyle name="Accent4 4" xfId="538"/>
    <cellStyle name="Accent4 5" xfId="539"/>
    <cellStyle name="Accent4 5 2" xfId="540"/>
    <cellStyle name="Accent4 6" xfId="55"/>
    <cellStyle name="Accent4 6 2" xfId="541"/>
    <cellStyle name="Accent4 7 2" xfId="542"/>
    <cellStyle name="Accent4 8 2" xfId="543"/>
    <cellStyle name="Accent4 9 2" xfId="544"/>
    <cellStyle name="Accent5 10 2" xfId="545"/>
    <cellStyle name="Accent5 11 2" xfId="546"/>
    <cellStyle name="Accent5 12 2" xfId="547"/>
    <cellStyle name="Accent5 13 2" xfId="548"/>
    <cellStyle name="Accent5 2" xfId="549"/>
    <cellStyle name="Accent5 2 2" xfId="550"/>
    <cellStyle name="Accent5 2 2 2" xfId="551"/>
    <cellStyle name="Accent5 2 2 2 2" xfId="552"/>
    <cellStyle name="Accent5 2 2 3" xfId="553"/>
    <cellStyle name="Accent5 2 3" xfId="554"/>
    <cellStyle name="Accent5 2 3 2" xfId="555"/>
    <cellStyle name="Accent5 3" xfId="556"/>
    <cellStyle name="Accent5 4" xfId="557"/>
    <cellStyle name="Accent5 5" xfId="558"/>
    <cellStyle name="Accent5 5 2" xfId="559"/>
    <cellStyle name="Accent5 6" xfId="56"/>
    <cellStyle name="Accent5 6 2" xfId="560"/>
    <cellStyle name="Accent5 7 2" xfId="561"/>
    <cellStyle name="Accent5 8 2" xfId="562"/>
    <cellStyle name="Accent5 9 2" xfId="563"/>
    <cellStyle name="Accent6 10 2" xfId="564"/>
    <cellStyle name="Accent6 11 2" xfId="565"/>
    <cellStyle name="Accent6 12 2" xfId="566"/>
    <cellStyle name="Accent6 13 2" xfId="567"/>
    <cellStyle name="Accent6 2" xfId="568"/>
    <cellStyle name="Accent6 2 2" xfId="569"/>
    <cellStyle name="Accent6 2 2 2" xfId="570"/>
    <cellStyle name="Accent6 2 2 2 2" xfId="571"/>
    <cellStyle name="Accent6 2 2 3" xfId="572"/>
    <cellStyle name="Accent6 2 3" xfId="573"/>
    <cellStyle name="Accent6 2 3 2" xfId="574"/>
    <cellStyle name="Accent6 3" xfId="575"/>
    <cellStyle name="Accent6 4" xfId="576"/>
    <cellStyle name="Accent6 5" xfId="577"/>
    <cellStyle name="Accent6 5 2" xfId="578"/>
    <cellStyle name="Accent6 6" xfId="57"/>
    <cellStyle name="Accent6 6 2" xfId="579"/>
    <cellStyle name="Accent6 7 2" xfId="580"/>
    <cellStyle name="Accent6 8 2" xfId="581"/>
    <cellStyle name="Accent6 9 2" xfId="582"/>
    <cellStyle name="Avertissement 2" xfId="76"/>
    <cellStyle name="Bad" xfId="583"/>
    <cellStyle name="Bad 10 2" xfId="584"/>
    <cellStyle name="Bad 11 2" xfId="585"/>
    <cellStyle name="Bad 12 2" xfId="586"/>
    <cellStyle name="Bad 13 2" xfId="587"/>
    <cellStyle name="Bad 2" xfId="588"/>
    <cellStyle name="Bad 2 2" xfId="589"/>
    <cellStyle name="Bad 2 2 2" xfId="590"/>
    <cellStyle name="Bad 2 2 2 2" xfId="591"/>
    <cellStyle name="Bad 2 2 3" xfId="592"/>
    <cellStyle name="Bad 2 3" xfId="593"/>
    <cellStyle name="Bad 2 3 2" xfId="594"/>
    <cellStyle name="Bad 3" xfId="595"/>
    <cellStyle name="Bad 4" xfId="596"/>
    <cellStyle name="Bad 5" xfId="597"/>
    <cellStyle name="Bad 5 2" xfId="598"/>
    <cellStyle name="Bad 6 2" xfId="599"/>
    <cellStyle name="Bad 7 2" xfId="600"/>
    <cellStyle name="Bad 8 2" xfId="601"/>
    <cellStyle name="Bad 9 2" xfId="602"/>
    <cellStyle name="Bad_NLBU -OPERATIONS  FINANCIAL REPORT - FEB10_REV Tanya" xfId="603"/>
    <cellStyle name="Calcul 2" xfId="59"/>
    <cellStyle name="Calculation" xfId="604"/>
    <cellStyle name="Calculation 10 2" xfId="605"/>
    <cellStyle name="Calculation 11 2" xfId="606"/>
    <cellStyle name="Calculation 12 2" xfId="607"/>
    <cellStyle name="Calculation 13 2" xfId="608"/>
    <cellStyle name="Calculation 2" xfId="609"/>
    <cellStyle name="Calculation 2 2" xfId="610"/>
    <cellStyle name="Calculation 2 2 2" xfId="611"/>
    <cellStyle name="Calculation 2 2 2 2" xfId="612"/>
    <cellStyle name="Calculation 2 2 3" xfId="613"/>
    <cellStyle name="Calculation 2 2 4" xfId="614"/>
    <cellStyle name="Calculation 2 2 5" xfId="615"/>
    <cellStyle name="Calculation 2 2 6" xfId="616"/>
    <cellStyle name="Calculation 2 3" xfId="617"/>
    <cellStyle name="Calculation 2 3 2" xfId="618"/>
    <cellStyle name="Calculation 3" xfId="619"/>
    <cellStyle name="Calculation 3 2" xfId="620"/>
    <cellStyle name="Calculation 3 3" xfId="621"/>
    <cellStyle name="Calculation 3 4" xfId="622"/>
    <cellStyle name="Calculation 3_RTD and LMU" xfId="623"/>
    <cellStyle name="Calculation 4" xfId="624"/>
    <cellStyle name="Calculation 4 2" xfId="625"/>
    <cellStyle name="Calculation 4 3" xfId="626"/>
    <cellStyle name="Calculation 4 4" xfId="627"/>
    <cellStyle name="Calculation 4_RTD and LMU" xfId="628"/>
    <cellStyle name="Calculation 5" xfId="629"/>
    <cellStyle name="Calculation 5 2" xfId="630"/>
    <cellStyle name="Calculation 6 2" xfId="631"/>
    <cellStyle name="Calculation 7 2" xfId="632"/>
    <cellStyle name="Calculation 8 2" xfId="633"/>
    <cellStyle name="Calculation 9 2" xfId="634"/>
    <cellStyle name="Calculation_HC by Dept - VP rollup Feb 2010 -  RD profile" xfId="635"/>
    <cellStyle name="Cellule liée 2" xfId="70"/>
    <cellStyle name="Check Cell" xfId="636"/>
    <cellStyle name="Check Cell 10 2" xfId="637"/>
    <cellStyle name="Check Cell 11 2" xfId="638"/>
    <cellStyle name="Check Cell 12 2" xfId="639"/>
    <cellStyle name="Check Cell 13 2" xfId="640"/>
    <cellStyle name="Check Cell 2" xfId="641"/>
    <cellStyle name="Check Cell 2 2" xfId="642"/>
    <cellStyle name="Check Cell 2 2 2" xfId="643"/>
    <cellStyle name="Check Cell 2 2 2 2" xfId="644"/>
    <cellStyle name="Check Cell 2 2 3" xfId="645"/>
    <cellStyle name="Check Cell 2 3" xfId="646"/>
    <cellStyle name="Check Cell 2 3 2" xfId="647"/>
    <cellStyle name="Check Cell 3" xfId="648"/>
    <cellStyle name="Check Cell 4" xfId="649"/>
    <cellStyle name="Check Cell 5" xfId="650"/>
    <cellStyle name="Check Cell 5 2" xfId="651"/>
    <cellStyle name="Check Cell 6 2" xfId="652"/>
    <cellStyle name="Check Cell 7 2" xfId="653"/>
    <cellStyle name="Check Cell 8 2" xfId="654"/>
    <cellStyle name="Check Cell 9 2" xfId="655"/>
    <cellStyle name="Check Cell_HC by Dept - VP rollup Feb 2010 -  RD profile" xfId="656"/>
    <cellStyle name="Comma 2" xfId="5"/>
    <cellStyle name="Comma 2 2" xfId="658"/>
    <cellStyle name="Comma 2 3" xfId="659"/>
    <cellStyle name="Comma 2 4" xfId="660"/>
    <cellStyle name="Comma 2 5" xfId="661"/>
    <cellStyle name="Comma 2 6" xfId="657"/>
    <cellStyle name="Comma 3" xfId="662"/>
    <cellStyle name="Comma 4" xfId="61"/>
    <cellStyle name="Comma 5" xfId="663"/>
    <cellStyle name="Comma_Decomm March 2010 Costflow" xfId="664"/>
    <cellStyle name="Commentaire 2" xfId="81"/>
    <cellStyle name="Commentaire 3" xfId="72"/>
    <cellStyle name="Currency 2" xfId="6"/>
    <cellStyle name="Entrée 2" xfId="69"/>
    <cellStyle name="Euro" xfId="14"/>
    <cellStyle name="Explanatory Text" xfId="665"/>
    <cellStyle name="Explanatory Text 10 2" xfId="666"/>
    <cellStyle name="Explanatory Text 11 2" xfId="667"/>
    <cellStyle name="Explanatory Text 12 2" xfId="668"/>
    <cellStyle name="Explanatory Text 13 2" xfId="669"/>
    <cellStyle name="Explanatory Text 2" xfId="670"/>
    <cellStyle name="Explanatory Text 2 2" xfId="671"/>
    <cellStyle name="Explanatory Text 2 2 2" xfId="672"/>
    <cellStyle name="Explanatory Text 2 2 2 2" xfId="673"/>
    <cellStyle name="Explanatory Text 2 2 3" xfId="674"/>
    <cellStyle name="Explanatory Text 2 3" xfId="675"/>
    <cellStyle name="Explanatory Text 2 3 2" xfId="676"/>
    <cellStyle name="Explanatory Text 3" xfId="677"/>
    <cellStyle name="Explanatory Text 4" xfId="678"/>
    <cellStyle name="Explanatory Text 5" xfId="679"/>
    <cellStyle name="Explanatory Text 5 2" xfId="680"/>
    <cellStyle name="Explanatory Text 6 2" xfId="681"/>
    <cellStyle name="Explanatory Text 7 2" xfId="682"/>
    <cellStyle name="Explanatory Text 8 2" xfId="683"/>
    <cellStyle name="Explanatory Text 9 2" xfId="684"/>
    <cellStyle name="Explanatory Text_NLBU -OPERATIONS  FINANCIAL REPORT - FEB10_REV Tanya" xfId="685"/>
    <cellStyle name="Good" xfId="686"/>
    <cellStyle name="Good 10 2" xfId="687"/>
    <cellStyle name="Good 11 2" xfId="688"/>
    <cellStyle name="Good 12 2" xfId="689"/>
    <cellStyle name="Good 13 2" xfId="690"/>
    <cellStyle name="Good 2" xfId="691"/>
    <cellStyle name="Good 2 2" xfId="692"/>
    <cellStyle name="Good 2 2 2" xfId="693"/>
    <cellStyle name="Good 2 2 2 2" xfId="694"/>
    <cellStyle name="Good 2 2 3" xfId="695"/>
    <cellStyle name="Good 2 3" xfId="696"/>
    <cellStyle name="Good 2 3 2" xfId="697"/>
    <cellStyle name="Good 3" xfId="698"/>
    <cellStyle name="Good 4" xfId="699"/>
    <cellStyle name="Good 5" xfId="700"/>
    <cellStyle name="Good 5 2" xfId="701"/>
    <cellStyle name="Good 6 2" xfId="702"/>
    <cellStyle name="Good 7 2" xfId="703"/>
    <cellStyle name="Good 8 2" xfId="704"/>
    <cellStyle name="Good 9 2" xfId="705"/>
    <cellStyle name="Good_NLBU -OPERATIONS  FINANCIAL REPORT - FEB10_REV Tanya" xfId="706"/>
    <cellStyle name="Heading 1" xfId="707"/>
    <cellStyle name="Heading 1 10 2" xfId="708"/>
    <cellStyle name="Heading 1 11 2" xfId="709"/>
    <cellStyle name="Heading 1 12 2" xfId="710"/>
    <cellStyle name="Heading 1 13 2" xfId="711"/>
    <cellStyle name="Heading 1 2 2" xfId="712"/>
    <cellStyle name="Heading 1 2 2 2" xfId="713"/>
    <cellStyle name="Heading 1 2 2 2 2" xfId="714"/>
    <cellStyle name="Heading 1 2 2 3" xfId="715"/>
    <cellStyle name="Heading 1 2 3" xfId="716"/>
    <cellStyle name="Heading 1 2 3 2" xfId="717"/>
    <cellStyle name="Heading 1 3" xfId="718"/>
    <cellStyle name="Heading 1 4" xfId="719"/>
    <cellStyle name="Heading 1 5 2" xfId="720"/>
    <cellStyle name="Heading 1 6 2" xfId="721"/>
    <cellStyle name="Heading 1 7 2" xfId="722"/>
    <cellStyle name="Heading 1 8 2" xfId="723"/>
    <cellStyle name="Heading 1 9 2" xfId="724"/>
    <cellStyle name="Heading 2" xfId="725"/>
    <cellStyle name="Heading 2 10 2" xfId="726"/>
    <cellStyle name="Heading 2 11 2" xfId="727"/>
    <cellStyle name="Heading 2 12 2" xfId="728"/>
    <cellStyle name="Heading 2 13 2" xfId="729"/>
    <cellStyle name="Heading 2 2 2" xfId="730"/>
    <cellStyle name="Heading 2 2 2 2" xfId="731"/>
    <cellStyle name="Heading 2 2 2 2 2" xfId="732"/>
    <cellStyle name="Heading 2 2 2 3" xfId="733"/>
    <cellStyle name="Heading 2 2 3" xfId="734"/>
    <cellStyle name="Heading 2 2 3 2" xfId="735"/>
    <cellStyle name="Heading 2 3" xfId="736"/>
    <cellStyle name="Heading 2 4" xfId="737"/>
    <cellStyle name="Heading 2 5 2" xfId="738"/>
    <cellStyle name="Heading 2 6 2" xfId="739"/>
    <cellStyle name="Heading 2 7 2" xfId="740"/>
    <cellStyle name="Heading 2 8 2" xfId="741"/>
    <cellStyle name="Heading 2 9 2" xfId="742"/>
    <cellStyle name="Heading 2_RTD and LMU" xfId="743"/>
    <cellStyle name="Heading 3" xfId="744"/>
    <cellStyle name="Heading 3 10 2" xfId="745"/>
    <cellStyle name="Heading 3 11 2" xfId="746"/>
    <cellStyle name="Heading 3 12 2" xfId="747"/>
    <cellStyle name="Heading 3 13 2" xfId="748"/>
    <cellStyle name="Heading 3 2 2" xfId="749"/>
    <cellStyle name="Heading 3 2 2 2" xfId="750"/>
    <cellStyle name="Heading 3 2 2 2 2" xfId="751"/>
    <cellStyle name="Heading 3 2 2 3" xfId="752"/>
    <cellStyle name="Heading 3 2 3" xfId="753"/>
    <cellStyle name="Heading 3 2 3 2" xfId="754"/>
    <cellStyle name="Heading 3 3" xfId="755"/>
    <cellStyle name="Heading 3 4" xfId="756"/>
    <cellStyle name="Heading 3 5 2" xfId="757"/>
    <cellStyle name="Heading 3 6 2" xfId="758"/>
    <cellStyle name="Heading 3 7 2" xfId="759"/>
    <cellStyle name="Heading 3 8 2" xfId="760"/>
    <cellStyle name="Heading 3 9 2" xfId="761"/>
    <cellStyle name="Heading 4" xfId="762"/>
    <cellStyle name="Heading 4 10 2" xfId="763"/>
    <cellStyle name="Heading 4 11 2" xfId="764"/>
    <cellStyle name="Heading 4 12 2" xfId="765"/>
    <cellStyle name="Heading 4 13 2" xfId="766"/>
    <cellStyle name="Heading 4 2 2" xfId="767"/>
    <cellStyle name="Heading 4 2 2 2" xfId="768"/>
    <cellStyle name="Heading 4 2 2 2 2" xfId="769"/>
    <cellStyle name="Heading 4 2 2 3" xfId="770"/>
    <cellStyle name="Heading 4 2 3" xfId="771"/>
    <cellStyle name="Heading 4 2 3 2" xfId="772"/>
    <cellStyle name="Heading 4 3" xfId="773"/>
    <cellStyle name="Heading 4 4" xfId="774"/>
    <cellStyle name="Heading 4 5 2" xfId="775"/>
    <cellStyle name="Heading 4 6 2" xfId="776"/>
    <cellStyle name="Heading 4 7 2" xfId="777"/>
    <cellStyle name="Heading 4 8 2" xfId="778"/>
    <cellStyle name="Heading 4 9 2" xfId="779"/>
    <cellStyle name="HILIGHT" xfId="780"/>
    <cellStyle name="Hyperlink 2" xfId="12"/>
    <cellStyle name="Hyperlink 2 2" xfId="781"/>
    <cellStyle name="Hyperlink 3" xfId="15"/>
    <cellStyle name="Hyperlink 4" xfId="19"/>
    <cellStyle name="Hyperlink_SECOR Model Template" xfId="68"/>
    <cellStyle name="Input" xfId="782"/>
    <cellStyle name="Input 10 2" xfId="783"/>
    <cellStyle name="Input 11 2" xfId="784"/>
    <cellStyle name="Input 12 2" xfId="785"/>
    <cellStyle name="Input 13 2" xfId="786"/>
    <cellStyle name="Input 2" xfId="787"/>
    <cellStyle name="Input 2 2" xfId="788"/>
    <cellStyle name="Input 2 2 2" xfId="789"/>
    <cellStyle name="Input 2 2 2 2" xfId="790"/>
    <cellStyle name="Input 2 2 3" xfId="791"/>
    <cellStyle name="Input 2 2 4" xfId="792"/>
    <cellStyle name="Input 2 2 5" xfId="793"/>
    <cellStyle name="Input 2 2 6" xfId="794"/>
    <cellStyle name="Input 2 3" xfId="795"/>
    <cellStyle name="Input 2 3 2" xfId="796"/>
    <cellStyle name="Input 3" xfId="797"/>
    <cellStyle name="Input 3 2" xfId="798"/>
    <cellStyle name="Input 3 3" xfId="799"/>
    <cellStyle name="Input 3 4" xfId="800"/>
    <cellStyle name="Input 3_RTD and LMU" xfId="801"/>
    <cellStyle name="Input 4" xfId="802"/>
    <cellStyle name="Input 4 2" xfId="803"/>
    <cellStyle name="Input 4 3" xfId="804"/>
    <cellStyle name="Input 4 4" xfId="805"/>
    <cellStyle name="Input 4_RTD and LMU" xfId="806"/>
    <cellStyle name="Input 5" xfId="807"/>
    <cellStyle name="Input 5 2" xfId="808"/>
    <cellStyle name="Input 6 2" xfId="809"/>
    <cellStyle name="Input 7 2" xfId="810"/>
    <cellStyle name="Input 8 2" xfId="811"/>
    <cellStyle name="Input 9 2" xfId="812"/>
    <cellStyle name="Input_HC by Dept - VP rollup Feb 2010 -  RD profile" xfId="813"/>
    <cellStyle name="Insatisfaisant 2" xfId="58"/>
    <cellStyle name="Level 1" xfId="814"/>
    <cellStyle name="Level 2" xfId="815"/>
    <cellStyle name="Lien hypertexte" xfId="1247" builtinId="8"/>
    <cellStyle name="Lien hypertexte 2" xfId="89"/>
    <cellStyle name="Lien hypertexte 3" xfId="1242"/>
    <cellStyle name="Lien hypertexte 4" xfId="1246"/>
    <cellStyle name="Linked Cell" xfId="816"/>
    <cellStyle name="Linked Cell 10 2" xfId="817"/>
    <cellStyle name="Linked Cell 11 2" xfId="818"/>
    <cellStyle name="Linked Cell 12 2" xfId="819"/>
    <cellStyle name="Linked Cell 13 2" xfId="820"/>
    <cellStyle name="Linked Cell 2" xfId="821"/>
    <cellStyle name="Linked Cell 2 2" xfId="822"/>
    <cellStyle name="Linked Cell 2 2 2" xfId="823"/>
    <cellStyle name="Linked Cell 2 2 2 2" xfId="824"/>
    <cellStyle name="Linked Cell 2 2 3" xfId="825"/>
    <cellStyle name="Linked Cell 2 3" xfId="826"/>
    <cellStyle name="Linked Cell 2 3 2" xfId="827"/>
    <cellStyle name="Linked Cell 3" xfId="828"/>
    <cellStyle name="Linked Cell 4" xfId="829"/>
    <cellStyle name="Linked Cell 5" xfId="830"/>
    <cellStyle name="Linked Cell 5 2" xfId="831"/>
    <cellStyle name="Linked Cell 6 2" xfId="832"/>
    <cellStyle name="Linked Cell 7 2" xfId="833"/>
    <cellStyle name="Linked Cell 8 2" xfId="834"/>
    <cellStyle name="Linked Cell 9 2" xfId="835"/>
    <cellStyle name="Linked Cell_HC by Dept - VP rollup Feb 2010 -  RD profile" xfId="836"/>
    <cellStyle name="Milliers" xfId="3" builtinId="3"/>
    <cellStyle name="Milliers 2" xfId="90"/>
    <cellStyle name="Milliers 3" xfId="1240"/>
    <cellStyle name="Milliers 4" xfId="88"/>
    <cellStyle name="Milliers 5" xfId="77"/>
    <cellStyle name="Milliers 6" xfId="1244"/>
    <cellStyle name="Milliers 7" xfId="31"/>
    <cellStyle name="Monétaire" xfId="1" builtinId="4"/>
    <cellStyle name="Monétaire 2" xfId="9"/>
    <cellStyle name="Monétaire 3" xfId="1243"/>
    <cellStyle name="Monétaire 7" xfId="16"/>
    <cellStyle name="Neutral" xfId="837"/>
    <cellStyle name="Neutral 10 2" xfId="838"/>
    <cellStyle name="Neutral 11 2" xfId="839"/>
    <cellStyle name="Neutral 12 2" xfId="840"/>
    <cellStyle name="Neutral 13 2" xfId="841"/>
    <cellStyle name="Neutral 2" xfId="842"/>
    <cellStyle name="Neutral 2 2" xfId="843"/>
    <cellStyle name="Neutral 2 2 2" xfId="844"/>
    <cellStyle name="Neutral 2 2 2 2" xfId="845"/>
    <cellStyle name="Neutral 2 2 3" xfId="846"/>
    <cellStyle name="Neutral 2 3" xfId="847"/>
    <cellStyle name="Neutral 2 3 2" xfId="848"/>
    <cellStyle name="Neutral 3" xfId="849"/>
    <cellStyle name="Neutral 4" xfId="850"/>
    <cellStyle name="Neutral 5" xfId="851"/>
    <cellStyle name="Neutral 5 2" xfId="852"/>
    <cellStyle name="Neutral 6 2" xfId="853"/>
    <cellStyle name="Neutral 7 2" xfId="854"/>
    <cellStyle name="Neutral 8 2" xfId="855"/>
    <cellStyle name="Neutral 9 2" xfId="856"/>
    <cellStyle name="Neutral_NLBU -OPERATIONS  FINANCIAL REPORT - FEB10_REV Tanya" xfId="857"/>
    <cellStyle name="Neutre 2" xfId="71"/>
    <cellStyle name="Normal" xfId="0" builtinId="0"/>
    <cellStyle name="Normal 10" xfId="858"/>
    <cellStyle name="Normal 11" xfId="859"/>
    <cellStyle name="Normal 12" xfId="860"/>
    <cellStyle name="Normal 13" xfId="78"/>
    <cellStyle name="Normal 14" xfId="1241"/>
    <cellStyle name="Normal 2" xfId="7"/>
    <cellStyle name="Normal 2 2" xfId="861"/>
    <cellStyle name="Normal 2 2 2" xfId="862"/>
    <cellStyle name="Normal 2 2 2 2" xfId="863"/>
    <cellStyle name="Normal 2 2 2_RTD and LMU" xfId="864"/>
    <cellStyle name="Normal 2 2 3" xfId="865"/>
    <cellStyle name="Normal 2 2 4" xfId="866"/>
    <cellStyle name="Normal 2 2 5" xfId="867"/>
    <cellStyle name="Normal 2 3" xfId="868"/>
    <cellStyle name="Normal 2 4" xfId="869"/>
    <cellStyle name="Normal 2 5" xfId="870"/>
    <cellStyle name="Normal 2 6" xfId="871"/>
    <cellStyle name="Normal 2 7" xfId="872"/>
    <cellStyle name="Normal 2_Hypothèses bac roulant" xfId="1245"/>
    <cellStyle name="Normal 3" xfId="4"/>
    <cellStyle name="Normal 3 2" xfId="873"/>
    <cellStyle name="Normal 3 2 2" xfId="874"/>
    <cellStyle name="Normal 3 2 3" xfId="875"/>
    <cellStyle name="Normal 3 2 4" xfId="876"/>
    <cellStyle name="Normal 3 2 5" xfId="877"/>
    <cellStyle name="Normal 3 3" xfId="878"/>
    <cellStyle name="Normal 3 4" xfId="879"/>
    <cellStyle name="Normal 3 5" xfId="880"/>
    <cellStyle name="Normal 4" xfId="13"/>
    <cellStyle name="Normal 4 2" xfId="881"/>
    <cellStyle name="Normal 5" xfId="882"/>
    <cellStyle name="Normal 6" xfId="883"/>
    <cellStyle name="Normal 6 2" xfId="884"/>
    <cellStyle name="Normal 6 3" xfId="885"/>
    <cellStyle name="Normal 6 4" xfId="886"/>
    <cellStyle name="Normal 6 5" xfId="887"/>
    <cellStyle name="Normal 7" xfId="17"/>
    <cellStyle name="Normal 7 2" xfId="888"/>
    <cellStyle name="Normal 8" xfId="889"/>
    <cellStyle name="Normal 9" xfId="890"/>
    <cellStyle name="Note" xfId="891"/>
    <cellStyle name="Note 10 2" xfId="892"/>
    <cellStyle name="Note 11 2" xfId="893"/>
    <cellStyle name="Note 12 2" xfId="894"/>
    <cellStyle name="Note 13 2" xfId="895"/>
    <cellStyle name="Note 2" xfId="11"/>
    <cellStyle name="Note 2 2" xfId="896"/>
    <cellStyle name="Note 2 2 2" xfId="897"/>
    <cellStyle name="Note 2 2 2 2" xfId="898"/>
    <cellStyle name="Note 2 2 3" xfId="899"/>
    <cellStyle name="Note 2 2 4" xfId="900"/>
    <cellStyle name="Note 2 2 5" xfId="901"/>
    <cellStyle name="Note 2 2 6" xfId="902"/>
    <cellStyle name="Note 2 3" xfId="903"/>
    <cellStyle name="Note 2 3 2" xfId="904"/>
    <cellStyle name="Note 3" xfId="10"/>
    <cellStyle name="Note 3 2" xfId="906"/>
    <cellStyle name="Note 3 3" xfId="907"/>
    <cellStyle name="Note 3 4" xfId="908"/>
    <cellStyle name="Note 3 5" xfId="905"/>
    <cellStyle name="Note 4" xfId="909"/>
    <cellStyle name="Note 4 2" xfId="910"/>
    <cellStyle name="Note 4 3" xfId="911"/>
    <cellStyle name="Note 4 4" xfId="912"/>
    <cellStyle name="Note 5 2" xfId="913"/>
    <cellStyle name="Note 6 2" xfId="914"/>
    <cellStyle name="Note 7 2" xfId="915"/>
    <cellStyle name="Note 8 2" xfId="916"/>
    <cellStyle name="Note 9 2" xfId="917"/>
    <cellStyle name="Note_RTD and LMU" xfId="918"/>
    <cellStyle name="Output" xfId="919"/>
    <cellStyle name="Output 10 2" xfId="920"/>
    <cellStyle name="Output 11 2" xfId="921"/>
    <cellStyle name="Output 12 2" xfId="922"/>
    <cellStyle name="Output 13 2" xfId="923"/>
    <cellStyle name="Output 2" xfId="924"/>
    <cellStyle name="Output 2 2" xfId="925"/>
    <cellStyle name="Output 2 2 2" xfId="926"/>
    <cellStyle name="Output 2 2 2 2" xfId="927"/>
    <cellStyle name="Output 2 2 3" xfId="928"/>
    <cellStyle name="Output 2 2 4" xfId="929"/>
    <cellStyle name="Output 2 2 5" xfId="930"/>
    <cellStyle name="Output 2 2 6" xfId="931"/>
    <cellStyle name="Output 2 3" xfId="932"/>
    <cellStyle name="Output 2 3 2" xfId="933"/>
    <cellStyle name="Output 3" xfId="934"/>
    <cellStyle name="Output 3 2" xfId="935"/>
    <cellStyle name="Output 3 3" xfId="936"/>
    <cellStyle name="Output 3 4" xfId="937"/>
    <cellStyle name="Output 3_RTD and LMU" xfId="938"/>
    <cellStyle name="Output 4" xfId="939"/>
    <cellStyle name="Output 4 2" xfId="940"/>
    <cellStyle name="Output 4 3" xfId="941"/>
    <cellStyle name="Output 4 4" xfId="942"/>
    <cellStyle name="Output 4_RTD and LMU" xfId="943"/>
    <cellStyle name="Output 5" xfId="944"/>
    <cellStyle name="Output 5 2" xfId="945"/>
    <cellStyle name="Output 6 2" xfId="946"/>
    <cellStyle name="Output 7 2" xfId="947"/>
    <cellStyle name="Output 8 2" xfId="948"/>
    <cellStyle name="Output 9 2" xfId="949"/>
    <cellStyle name="Output Amounts" xfId="20"/>
    <cellStyle name="Output Column Headings" xfId="21"/>
    <cellStyle name="Output Line Items" xfId="22"/>
    <cellStyle name="Output Line Items 2" xfId="950"/>
    <cellStyle name="Output Line Items 3" xfId="951"/>
    <cellStyle name="Output Line Items_RTD and LMU" xfId="952"/>
    <cellStyle name="Output Report Heading" xfId="23"/>
    <cellStyle name="Output Report Title" xfId="24"/>
    <cellStyle name="Output_HC by Dept - VP rollup Feb 2010 -  RD profile" xfId="953"/>
    <cellStyle name="Percent 2" xfId="8"/>
    <cellStyle name="Percent 2 2" xfId="954"/>
    <cellStyle name="Percent 2 3" xfId="955"/>
    <cellStyle name="Percent 3" xfId="956"/>
    <cellStyle name="Percent 4" xfId="957"/>
    <cellStyle name="Pourcentage" xfId="2" builtinId="5"/>
    <cellStyle name="Pourcentage 2" xfId="18"/>
    <cellStyle name="PSChar" xfId="25"/>
    <cellStyle name="PSChar 2" xfId="82"/>
    <cellStyle name="PSDate" xfId="26"/>
    <cellStyle name="PSDate 2" xfId="83"/>
    <cellStyle name="PSDec" xfId="27"/>
    <cellStyle name="PSDec 2" xfId="84"/>
    <cellStyle name="PSHeading" xfId="28"/>
    <cellStyle name="PSHeading 2" xfId="958"/>
    <cellStyle name="PSHeading 3" xfId="85"/>
    <cellStyle name="PSHeading_RTD and LMU" xfId="959"/>
    <cellStyle name="PSInt" xfId="29"/>
    <cellStyle name="PSInt 2" xfId="86"/>
    <cellStyle name="PSSpacer" xfId="30"/>
    <cellStyle name="PSSpacer 2" xfId="87"/>
    <cellStyle name="RISKbigPercent" xfId="960"/>
    <cellStyle name="RISKbigPercent 2" xfId="961"/>
    <cellStyle name="RISKbigPercent 3" xfId="962"/>
    <cellStyle name="RISKbigPercent 4" xfId="963"/>
    <cellStyle name="RISKbigPercent 5" xfId="964"/>
    <cellStyle name="RISKbigPercent 6" xfId="965"/>
    <cellStyle name="RISKbigPercent 7" xfId="966"/>
    <cellStyle name="RISKblandrEdge" xfId="967"/>
    <cellStyle name="RISKblandrEdge 2" xfId="968"/>
    <cellStyle name="RISKblandrEdge 3" xfId="969"/>
    <cellStyle name="RISKblandrEdge 4" xfId="970"/>
    <cellStyle name="RISKblandrEdge 5" xfId="971"/>
    <cellStyle name="RISKblandrEdge 6" xfId="972"/>
    <cellStyle name="RISKblandrEdge 7" xfId="973"/>
    <cellStyle name="RISKblCorner" xfId="974"/>
    <cellStyle name="RISKblCorner 2" xfId="975"/>
    <cellStyle name="RISKblCorner 3" xfId="976"/>
    <cellStyle name="RISKblCorner 4" xfId="977"/>
    <cellStyle name="RISKblCorner 5" xfId="978"/>
    <cellStyle name="RISKblCorner 6" xfId="979"/>
    <cellStyle name="RISKblCorner 7" xfId="980"/>
    <cellStyle name="RISKbottomEdge" xfId="981"/>
    <cellStyle name="RISKbottomEdge 2" xfId="982"/>
    <cellStyle name="RISKbottomEdge 3" xfId="983"/>
    <cellStyle name="RISKbottomEdge 4" xfId="984"/>
    <cellStyle name="RISKbottomEdge 5" xfId="985"/>
    <cellStyle name="RISKbottomEdge 6" xfId="986"/>
    <cellStyle name="RISKbottomEdge 7" xfId="987"/>
    <cellStyle name="RISKbrCorner" xfId="988"/>
    <cellStyle name="RISKbrCorner 2" xfId="989"/>
    <cellStyle name="RISKbrCorner 3" xfId="990"/>
    <cellStyle name="RISKbrCorner 4" xfId="991"/>
    <cellStyle name="RISKbrCorner 5" xfId="992"/>
    <cellStyle name="RISKbrCorner 6" xfId="993"/>
    <cellStyle name="RISKbrCorner 7" xfId="994"/>
    <cellStyle name="RISKdarkBoxed" xfId="995"/>
    <cellStyle name="RISKdarkBoxed 2" xfId="996"/>
    <cellStyle name="RISKdarkBoxed 2 2" xfId="997"/>
    <cellStyle name="RISKdarkBoxed 2 3" xfId="998"/>
    <cellStyle name="RISKdarkBoxed 2 4" xfId="999"/>
    <cellStyle name="RISKdarkBoxed 3" xfId="1000"/>
    <cellStyle name="RISKdarkBoxed 4" xfId="1001"/>
    <cellStyle name="RISKdarkBoxed 5" xfId="1002"/>
    <cellStyle name="RISKdarkBoxed 6" xfId="1003"/>
    <cellStyle name="RISKdarkBoxed 7" xfId="1004"/>
    <cellStyle name="RISKdarkShade" xfId="1005"/>
    <cellStyle name="RISKdarkShade 2" xfId="1006"/>
    <cellStyle name="RISKdarkShade 3" xfId="1007"/>
    <cellStyle name="RISKdarkShade 4" xfId="1008"/>
    <cellStyle name="RISKdarkShade 5" xfId="1009"/>
    <cellStyle name="RISKdarkShade 6" xfId="1010"/>
    <cellStyle name="RISKdarkShade 7" xfId="1011"/>
    <cellStyle name="RISKdbottomEdge" xfId="1012"/>
    <cellStyle name="RISKdbottomEdge 2" xfId="1013"/>
    <cellStyle name="RISKdbottomEdge 3" xfId="1014"/>
    <cellStyle name="RISKdbottomEdge 4" xfId="1015"/>
    <cellStyle name="RISKdbottomEdge 5" xfId="1016"/>
    <cellStyle name="RISKdbottomEdge 6" xfId="1017"/>
    <cellStyle name="RISKdbottomEdge 7" xfId="1018"/>
    <cellStyle name="RISKdrightEdge" xfId="1019"/>
    <cellStyle name="RISKdrightEdge 2" xfId="1020"/>
    <cellStyle name="RISKdrightEdge 3" xfId="1021"/>
    <cellStyle name="RISKdrightEdge 4" xfId="1022"/>
    <cellStyle name="RISKdrightEdge 5" xfId="1023"/>
    <cellStyle name="RISKdrightEdge 6" xfId="1024"/>
    <cellStyle name="RISKdrightEdge 7" xfId="1025"/>
    <cellStyle name="RISKdurationTime" xfId="1026"/>
    <cellStyle name="RISKdurationTime 2" xfId="1027"/>
    <cellStyle name="RISKdurationTime 3" xfId="1028"/>
    <cellStyle name="RISKdurationTime 4" xfId="1029"/>
    <cellStyle name="RISKdurationTime 5" xfId="1030"/>
    <cellStyle name="RISKdurationTime 6" xfId="1031"/>
    <cellStyle name="RISKdurationTime 7" xfId="1032"/>
    <cellStyle name="RISKinNumber" xfId="1033"/>
    <cellStyle name="RISKlandrEdge" xfId="1034"/>
    <cellStyle name="RISKlandrEdge 2" xfId="1035"/>
    <cellStyle name="RISKlandrEdge 3" xfId="1036"/>
    <cellStyle name="RISKlandrEdge 4" xfId="1037"/>
    <cellStyle name="RISKlandrEdge 5" xfId="1038"/>
    <cellStyle name="RISKlandrEdge 6" xfId="1039"/>
    <cellStyle name="RISKlandrEdge 7" xfId="1040"/>
    <cellStyle name="RISKleftEdge" xfId="1041"/>
    <cellStyle name="RISKleftEdge 2" xfId="1042"/>
    <cellStyle name="RISKleftEdge 3" xfId="1043"/>
    <cellStyle name="RISKleftEdge 4" xfId="1044"/>
    <cellStyle name="RISKleftEdge 5" xfId="1045"/>
    <cellStyle name="RISKleftEdge 6" xfId="1046"/>
    <cellStyle name="RISKleftEdge 7" xfId="1047"/>
    <cellStyle name="RISKlightBoxed" xfId="1048"/>
    <cellStyle name="RISKlightBoxed 2" xfId="1049"/>
    <cellStyle name="RISKlightBoxed 2 2" xfId="1050"/>
    <cellStyle name="RISKlightBoxed 2 3" xfId="1051"/>
    <cellStyle name="RISKlightBoxed 2 4" xfId="1052"/>
    <cellStyle name="RISKlightBoxed 3" xfId="1053"/>
    <cellStyle name="RISKlightBoxed 4" xfId="1054"/>
    <cellStyle name="RISKlightBoxed 5" xfId="1055"/>
    <cellStyle name="RISKlightBoxed 6" xfId="1056"/>
    <cellStyle name="RISKlightBoxed 7" xfId="1057"/>
    <cellStyle name="RISKltandbEdge" xfId="1058"/>
    <cellStyle name="RISKltandbEdge 2" xfId="1059"/>
    <cellStyle name="RISKltandbEdge 2 2" xfId="1060"/>
    <cellStyle name="RISKltandbEdge 2 3" xfId="1061"/>
    <cellStyle name="RISKltandbEdge 2 4" xfId="1062"/>
    <cellStyle name="RISKltandbEdge 3" xfId="1063"/>
    <cellStyle name="RISKltandbEdge 4" xfId="1064"/>
    <cellStyle name="RISKltandbEdge 5" xfId="1065"/>
    <cellStyle name="RISKltandbEdge 6" xfId="1066"/>
    <cellStyle name="RISKltandbEdge 7" xfId="1067"/>
    <cellStyle name="RISKnormBoxed" xfId="1068"/>
    <cellStyle name="RISKnormBoxed 2" xfId="1069"/>
    <cellStyle name="RISKnormBoxed 2 2" xfId="1070"/>
    <cellStyle name="RISKnormBoxed 2 3" xfId="1071"/>
    <cellStyle name="RISKnormBoxed 2 4" xfId="1072"/>
    <cellStyle name="RISKnormBoxed 3" xfId="1073"/>
    <cellStyle name="RISKnormBoxed 4" xfId="1074"/>
    <cellStyle name="RISKnormBoxed 5" xfId="1075"/>
    <cellStyle name="RISKnormBoxed 6" xfId="1076"/>
    <cellStyle name="RISKnormBoxed 7" xfId="1077"/>
    <cellStyle name="RISKnormCenter" xfId="1078"/>
    <cellStyle name="RISKnormCenter 2" xfId="1079"/>
    <cellStyle name="RISKnormCenter 3" xfId="1080"/>
    <cellStyle name="RISKnormCenter 4" xfId="1081"/>
    <cellStyle name="RISKnormCenter 5" xfId="1082"/>
    <cellStyle name="RISKnormCenter 6" xfId="1083"/>
    <cellStyle name="RISKnormCenter 7" xfId="1084"/>
    <cellStyle name="RISKnormHeading" xfId="1085"/>
    <cellStyle name="RISKnormItal" xfId="1086"/>
    <cellStyle name="RISKnormLabel" xfId="1087"/>
    <cellStyle name="RISKnormShade" xfId="1088"/>
    <cellStyle name="RISKnormShade 2" xfId="1089"/>
    <cellStyle name="RISKnormShade 3" xfId="1090"/>
    <cellStyle name="RISKnormShade 4" xfId="1091"/>
    <cellStyle name="RISKnormShade 5" xfId="1092"/>
    <cellStyle name="RISKnormShade 6" xfId="1093"/>
    <cellStyle name="RISKnormShade 7" xfId="1094"/>
    <cellStyle name="RISKnormTitle" xfId="1095"/>
    <cellStyle name="RISKoutNumber" xfId="1096"/>
    <cellStyle name="RISKrightEdge" xfId="1097"/>
    <cellStyle name="RISKrightEdge 2" xfId="1098"/>
    <cellStyle name="RISKrightEdge 3" xfId="1099"/>
    <cellStyle name="RISKrightEdge 4" xfId="1100"/>
    <cellStyle name="RISKrightEdge 5" xfId="1101"/>
    <cellStyle name="RISKrightEdge 6" xfId="1102"/>
    <cellStyle name="RISKrightEdge 7" xfId="1103"/>
    <cellStyle name="RISKrtandbEdge" xfId="1104"/>
    <cellStyle name="RISKrtandbEdge 2" xfId="1105"/>
    <cellStyle name="RISKrtandbEdge 2 2" xfId="1106"/>
    <cellStyle name="RISKrtandbEdge 2 3" xfId="1107"/>
    <cellStyle name="RISKrtandbEdge 2 4" xfId="1108"/>
    <cellStyle name="RISKrtandbEdge 3" xfId="1109"/>
    <cellStyle name="RISKrtandbEdge 4" xfId="1110"/>
    <cellStyle name="RISKrtandbEdge 5" xfId="1111"/>
    <cellStyle name="RISKrtandbEdge 6" xfId="1112"/>
    <cellStyle name="RISKrtandbEdge 7" xfId="1113"/>
    <cellStyle name="RISKssTime" xfId="1114"/>
    <cellStyle name="RISKssTime 2" xfId="1115"/>
    <cellStyle name="RISKssTime 3" xfId="1116"/>
    <cellStyle name="RISKssTime 4" xfId="1117"/>
    <cellStyle name="RISKssTime 5" xfId="1118"/>
    <cellStyle name="RISKssTime 6" xfId="1119"/>
    <cellStyle name="RISKssTime 7" xfId="1120"/>
    <cellStyle name="RISKtandbEdge" xfId="1121"/>
    <cellStyle name="RISKtandbEdge 2" xfId="1122"/>
    <cellStyle name="RISKtandbEdge 2 2" xfId="1123"/>
    <cellStyle name="RISKtandbEdge 2 3" xfId="1124"/>
    <cellStyle name="RISKtandbEdge 2 4" xfId="1125"/>
    <cellStyle name="RISKtandbEdge 3" xfId="1126"/>
    <cellStyle name="RISKtandbEdge 4" xfId="1127"/>
    <cellStyle name="RISKtandbEdge 5" xfId="1128"/>
    <cellStyle name="RISKtandbEdge 6" xfId="1129"/>
    <cellStyle name="RISKtandbEdge 7" xfId="1130"/>
    <cellStyle name="RISKtlandrEdge" xfId="1131"/>
    <cellStyle name="RISKtlandrEdge 2" xfId="1132"/>
    <cellStyle name="RISKtlandrEdge 2 2" xfId="1133"/>
    <cellStyle name="RISKtlandrEdge 2 3" xfId="1134"/>
    <cellStyle name="RISKtlandrEdge 2 4" xfId="1135"/>
    <cellStyle name="RISKtlandrEdge 3" xfId="1136"/>
    <cellStyle name="RISKtlandrEdge 4" xfId="1137"/>
    <cellStyle name="RISKtlandrEdge 5" xfId="1138"/>
    <cellStyle name="RISKtlandrEdge 6" xfId="1139"/>
    <cellStyle name="RISKtlandrEdge 7" xfId="1140"/>
    <cellStyle name="RISKtlCorner" xfId="1141"/>
    <cellStyle name="RISKtlCorner 2" xfId="1142"/>
    <cellStyle name="RISKtlCorner 2 2" xfId="1143"/>
    <cellStyle name="RISKtlCorner 2 3" xfId="1144"/>
    <cellStyle name="RISKtlCorner 2 4" xfId="1145"/>
    <cellStyle name="RISKtlCorner 3" xfId="1146"/>
    <cellStyle name="RISKtlCorner 4" xfId="1147"/>
    <cellStyle name="RISKtlCorner 5" xfId="1148"/>
    <cellStyle name="RISKtlCorner 6" xfId="1149"/>
    <cellStyle name="RISKtlCorner 7" xfId="1150"/>
    <cellStyle name="RISKtopEdge" xfId="1151"/>
    <cellStyle name="RISKtopEdge 2" xfId="1152"/>
    <cellStyle name="RISKtopEdge 2 2" xfId="1153"/>
    <cellStyle name="RISKtopEdge 2 3" xfId="1154"/>
    <cellStyle name="RISKtopEdge 2 4" xfId="1155"/>
    <cellStyle name="RISKtopEdge 3" xfId="1156"/>
    <cellStyle name="RISKtopEdge 4" xfId="1157"/>
    <cellStyle name="RISKtopEdge 5" xfId="1158"/>
    <cellStyle name="RISKtopEdge 6" xfId="1159"/>
    <cellStyle name="RISKtopEdge 7" xfId="1160"/>
    <cellStyle name="RISKtrCorner" xfId="1161"/>
    <cellStyle name="RISKtrCorner 2" xfId="1162"/>
    <cellStyle name="RISKtrCorner 2 2" xfId="1163"/>
    <cellStyle name="RISKtrCorner 2 3" xfId="1164"/>
    <cellStyle name="RISKtrCorner 2 4" xfId="1165"/>
    <cellStyle name="RISKtrCorner 3" xfId="1166"/>
    <cellStyle name="RISKtrCorner 4" xfId="1167"/>
    <cellStyle name="RISKtrCorner 5" xfId="1168"/>
    <cellStyle name="RISKtrCorner 6" xfId="1169"/>
    <cellStyle name="RISKtrCorner 7" xfId="1170"/>
    <cellStyle name="Satisfaisant 2" xfId="63"/>
    <cellStyle name="Sortie 2" xfId="73"/>
    <cellStyle name="Texte explicatif 2" xfId="62"/>
    <cellStyle name="Title" xfId="1171"/>
    <cellStyle name="Title 10 2" xfId="1172"/>
    <cellStyle name="Title 11 2" xfId="1173"/>
    <cellStyle name="Title 12 2" xfId="1174"/>
    <cellStyle name="Title 13 2" xfId="1175"/>
    <cellStyle name="Title 2 2" xfId="1176"/>
    <cellStyle name="Title 2 2 2" xfId="1177"/>
    <cellStyle name="Title 2 2 2 2" xfId="1178"/>
    <cellStyle name="Title 2 2 3" xfId="1179"/>
    <cellStyle name="Title 2 3" xfId="1180"/>
    <cellStyle name="Title 2 3 2" xfId="1181"/>
    <cellStyle name="Title 3" xfId="1182"/>
    <cellStyle name="Title 4" xfId="1183"/>
    <cellStyle name="Title 5 2" xfId="1184"/>
    <cellStyle name="Title 6 2" xfId="1185"/>
    <cellStyle name="Title 7 2" xfId="1186"/>
    <cellStyle name="Title 8 2" xfId="1187"/>
    <cellStyle name="Title 9 2" xfId="1188"/>
    <cellStyle name="Titre 2" xfId="74"/>
    <cellStyle name="Titre 1 2" xfId="64"/>
    <cellStyle name="Titre 2 2" xfId="65"/>
    <cellStyle name="Titre 3 2" xfId="66"/>
    <cellStyle name="Titre 4 2" xfId="67"/>
    <cellStyle name="Total 10 2" xfId="1189"/>
    <cellStyle name="Total 11 2" xfId="1190"/>
    <cellStyle name="Total 12 2" xfId="1191"/>
    <cellStyle name="Total 13 2" xfId="1192"/>
    <cellStyle name="Total 2" xfId="1193"/>
    <cellStyle name="Total 2 2" xfId="1194"/>
    <cellStyle name="Total 2 2 2" xfId="1195"/>
    <cellStyle name="Total 2 2 2 2" xfId="1196"/>
    <cellStyle name="Total 2 2 3" xfId="1197"/>
    <cellStyle name="Total 2 2 4" xfId="1198"/>
    <cellStyle name="Total 2 2 5" xfId="1199"/>
    <cellStyle name="Total 2 2 6" xfId="1200"/>
    <cellStyle name="Total 2 3" xfId="1201"/>
    <cellStyle name="Total 2 3 2" xfId="1202"/>
    <cellStyle name="Total 3" xfId="1203"/>
    <cellStyle name="Total 3 2" xfId="1204"/>
    <cellStyle name="Total 3 3" xfId="1205"/>
    <cellStyle name="Total 3 4" xfId="1206"/>
    <cellStyle name="Total 3_RTD and LMU" xfId="1207"/>
    <cellStyle name="Total 4" xfId="1208"/>
    <cellStyle name="Total 4 2" xfId="1209"/>
    <cellStyle name="Total 4 3" xfId="1210"/>
    <cellStyle name="Total 4 4" xfId="1211"/>
    <cellStyle name="Total 4_RTD and LMU" xfId="1212"/>
    <cellStyle name="Total 5" xfId="1213"/>
    <cellStyle name="Total 5 2" xfId="1214"/>
    <cellStyle name="Total 6" xfId="75"/>
    <cellStyle name="Total 6 2" xfId="1215"/>
    <cellStyle name="Total 7 2" xfId="1216"/>
    <cellStyle name="Total 8 2" xfId="1217"/>
    <cellStyle name="Total 9 2" xfId="1218"/>
    <cellStyle name="Vérification 2" xfId="60"/>
    <cellStyle name="Warning Text" xfId="1219"/>
    <cellStyle name="Warning Text 10 2" xfId="1220"/>
    <cellStyle name="Warning Text 11 2" xfId="1221"/>
    <cellStyle name="Warning Text 12 2" xfId="1222"/>
    <cellStyle name="Warning Text 13 2" xfId="1223"/>
    <cellStyle name="Warning Text 2" xfId="1224"/>
    <cellStyle name="Warning Text 2 2" xfId="1225"/>
    <cellStyle name="Warning Text 2 2 2" xfId="1226"/>
    <cellStyle name="Warning Text 2 2 2 2" xfId="1227"/>
    <cellStyle name="Warning Text 2 2 3" xfId="1228"/>
    <cellStyle name="Warning Text 2 3" xfId="1229"/>
    <cellStyle name="Warning Text 2 3 2" xfId="1230"/>
    <cellStyle name="Warning Text 3" xfId="1231"/>
    <cellStyle name="Warning Text 4" xfId="1232"/>
    <cellStyle name="Warning Text 5" xfId="1233"/>
    <cellStyle name="Warning Text 5 2" xfId="1234"/>
    <cellStyle name="Warning Text 6 2" xfId="1235"/>
    <cellStyle name="Warning Text 7 2" xfId="1236"/>
    <cellStyle name="Warning Text 8 2" xfId="1237"/>
    <cellStyle name="Warning Text 9 2" xfId="1238"/>
    <cellStyle name="Warning Text_NLBU -OPERATIONS  FINANCIAL REPORT - FEB10_REV Tanya" xfId="1239"/>
  </cellStyles>
  <dxfs count="50">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left" vertical="bottom" textRotation="0" wrapText="0" relative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relative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font>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ill>
        <patternFill patternType="lightUp">
          <fgColor theme="2" tint="-0.49998474074526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0</xdr:colOff>
      <xdr:row>42</xdr:row>
      <xdr:rowOff>63500</xdr:rowOff>
    </xdr:to>
    <xdr:sp macro="" textlink="">
      <xdr:nvSpPr>
        <xdr:cNvPr id="4" name="ZoneTexte 3"/>
        <xdr:cNvSpPr txBox="1"/>
      </xdr:nvSpPr>
      <xdr:spPr>
        <a:xfrm>
          <a:off x="762000" y="190500"/>
          <a:ext cx="10943167" cy="787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a:p>
          <a:endParaRPr lang="fr-CA" sz="1100"/>
        </a:p>
      </xdr:txBody>
    </xdr:sp>
    <xdr:clientData/>
  </xdr:twoCellAnchor>
  <xdr:twoCellAnchor editAs="oneCell">
    <xdr:from>
      <xdr:col>1</xdr:col>
      <xdr:colOff>0</xdr:colOff>
      <xdr:row>1</xdr:row>
      <xdr:rowOff>0</xdr:rowOff>
    </xdr:from>
    <xdr:to>
      <xdr:col>1</xdr:col>
      <xdr:colOff>5047619</xdr:colOff>
      <xdr:row>38</xdr:row>
      <xdr:rowOff>84833</xdr:rowOff>
    </xdr:to>
    <xdr:pic>
      <xdr:nvPicPr>
        <xdr:cNvPr id="3" name="Image 2"/>
        <xdr:cNvPicPr>
          <a:picLocks noChangeAspect="1"/>
        </xdr:cNvPicPr>
      </xdr:nvPicPr>
      <xdr:blipFill>
        <a:blip xmlns:r="http://schemas.openxmlformats.org/officeDocument/2006/relationships" r:embed="rId1"/>
        <a:stretch>
          <a:fillRect/>
        </a:stretch>
      </xdr:blipFill>
      <xdr:spPr>
        <a:xfrm>
          <a:off x="762000" y="190500"/>
          <a:ext cx="5047619" cy="7133333"/>
        </a:xfrm>
        <a:prstGeom prst="rect">
          <a:avLst/>
        </a:prstGeom>
      </xdr:spPr>
    </xdr:pic>
    <xdr:clientData/>
  </xdr:twoCellAnchor>
  <xdr:twoCellAnchor editAs="oneCell">
    <xdr:from>
      <xdr:col>1</xdr:col>
      <xdr:colOff>4889500</xdr:colOff>
      <xdr:row>5</xdr:row>
      <xdr:rowOff>116416</xdr:rowOff>
    </xdr:from>
    <xdr:to>
      <xdr:col>4</xdr:col>
      <xdr:colOff>489381</xdr:colOff>
      <xdr:row>33</xdr:row>
      <xdr:rowOff>106225</xdr:rowOff>
    </xdr:to>
    <xdr:pic>
      <xdr:nvPicPr>
        <xdr:cNvPr id="6" name="Image 5"/>
        <xdr:cNvPicPr>
          <a:picLocks noChangeAspect="1"/>
        </xdr:cNvPicPr>
      </xdr:nvPicPr>
      <xdr:blipFill>
        <a:blip xmlns:r="http://schemas.openxmlformats.org/officeDocument/2006/relationships" r:embed="rId2"/>
        <a:stretch>
          <a:fillRect/>
        </a:stretch>
      </xdr:blipFill>
      <xdr:spPr>
        <a:xfrm>
          <a:off x="5651500" y="1068916"/>
          <a:ext cx="5019048" cy="5323809"/>
        </a:xfrm>
        <a:prstGeom prst="rect">
          <a:avLst/>
        </a:prstGeom>
      </xdr:spPr>
    </xdr:pic>
    <xdr:clientData/>
  </xdr:twoCellAnchor>
  <xdr:twoCellAnchor editAs="oneCell">
    <xdr:from>
      <xdr:col>1</xdr:col>
      <xdr:colOff>0</xdr:colOff>
      <xdr:row>1</xdr:row>
      <xdr:rowOff>0</xdr:rowOff>
    </xdr:from>
    <xdr:to>
      <xdr:col>1</xdr:col>
      <xdr:colOff>5380952</xdr:colOff>
      <xdr:row>5</xdr:row>
      <xdr:rowOff>76095</xdr:rowOff>
    </xdr:to>
    <xdr:pic>
      <xdr:nvPicPr>
        <xdr:cNvPr id="2" name="Image 1"/>
        <xdr:cNvPicPr>
          <a:picLocks noChangeAspect="1"/>
        </xdr:cNvPicPr>
      </xdr:nvPicPr>
      <xdr:blipFill>
        <a:blip xmlns:r="http://schemas.openxmlformats.org/officeDocument/2006/relationships" r:embed="rId3"/>
        <a:stretch>
          <a:fillRect/>
        </a:stretch>
      </xdr:blipFill>
      <xdr:spPr>
        <a:xfrm>
          <a:off x="762000" y="190500"/>
          <a:ext cx="5380952" cy="8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q-fs\Regime_de_compensation\09-01_tarification\09-01-05_tarifs_annuels\Tarif%202014\Volet%20technique\Grille%20de%20calcul%20Excel\09%20-%20Publication%20web%20Mai%202014\Non%20verrouill&#233;s\Tarif%202014%20-Publication%202014-05-02%20FR%20non%20verrouill&#2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couverture"/>
      <sheetName val="Sommaire exécutif"/>
      <sheetName val="Paramètres"/>
      <sheetName val="Déclaration"/>
      <sheetName val="Caractérisation"/>
      <sheetName val="Ajustements"/>
      <sheetName val="Coûts nets"/>
      <sheetName val="Sommaire matières"/>
      <sheetName val="Facteur_1"/>
      <sheetName val="Facteur_2"/>
      <sheetName val="Facteur_3"/>
      <sheetName val="Frais de gestion &amp; RQ"/>
      <sheetName val="Tarif"/>
      <sheetName val="Crédit contenu recyclé"/>
      <sheetName val="Tarif 2014 -Publication 2014-05"/>
    </sheetNames>
    <sheetDataSet>
      <sheetData sheetId="0" refreshError="1"/>
      <sheetData sheetId="1" refreshError="1"/>
      <sheetData sheetId="2">
        <row r="4">
          <cell r="C4">
            <v>2014</v>
          </cell>
        </row>
        <row r="6">
          <cell r="C6">
            <v>2013</v>
          </cell>
        </row>
        <row r="9">
          <cell r="C9">
            <v>154899437.50169548</v>
          </cell>
        </row>
        <row r="10">
          <cell r="C10">
            <v>-7.4999999999999997E-2</v>
          </cell>
        </row>
        <row r="11">
          <cell r="C11">
            <v>-6.6177687256072495E-2</v>
          </cell>
        </row>
        <row r="12">
          <cell r="C12">
            <v>8.5500000000000007E-2</v>
          </cell>
        </row>
        <row r="13">
          <cell r="C13">
            <v>1</v>
          </cell>
        </row>
        <row r="14">
          <cell r="C14">
            <v>0.89599999999999991</v>
          </cell>
        </row>
        <row r="15">
          <cell r="C15">
            <v>6840000</v>
          </cell>
        </row>
        <row r="16">
          <cell r="C16">
            <v>0.02</v>
          </cell>
        </row>
        <row r="17">
          <cell r="C17">
            <v>3191152</v>
          </cell>
        </row>
        <row r="18">
          <cell r="C18">
            <v>2574048</v>
          </cell>
        </row>
        <row r="19">
          <cell r="C19">
            <v>0.02</v>
          </cell>
        </row>
        <row r="22">
          <cell r="C22">
            <v>0.4</v>
          </cell>
        </row>
        <row r="23">
          <cell r="C23">
            <v>0.4</v>
          </cell>
        </row>
        <row r="24">
          <cell r="C24">
            <v>0.2</v>
          </cell>
        </row>
        <row r="25">
          <cell r="C25">
            <v>1</v>
          </cell>
        </row>
        <row r="28">
          <cell r="C28">
            <v>0.20499999999999999</v>
          </cell>
        </row>
        <row r="29">
          <cell r="C29">
            <v>0.69099999999999995</v>
          </cell>
        </row>
        <row r="32">
          <cell r="C32">
            <v>0.15</v>
          </cell>
        </row>
        <row r="33">
          <cell r="C33">
            <v>0.2</v>
          </cell>
        </row>
        <row r="47">
          <cell r="C47">
            <v>6996096.5500000007</v>
          </cell>
        </row>
        <row r="48">
          <cell r="C48">
            <v>0</v>
          </cell>
        </row>
        <row r="50">
          <cell r="C50">
            <v>-3800000</v>
          </cell>
        </row>
        <row r="51">
          <cell r="C51">
            <v>0</v>
          </cell>
        </row>
        <row r="52">
          <cell r="C52">
            <v>0</v>
          </cell>
        </row>
      </sheetData>
      <sheetData sheetId="3">
        <row r="6">
          <cell r="C6" t="str">
            <v>Encarts et circulaires imprimés sur du papier journal</v>
          </cell>
          <cell r="D6">
            <v>131</v>
          </cell>
          <cell r="E6">
            <v>96111832.011627913</v>
          </cell>
        </row>
        <row r="7">
          <cell r="C7" t="str">
            <v>Catalogues et publications</v>
          </cell>
          <cell r="D7">
            <v>209</v>
          </cell>
          <cell r="E7">
            <v>17711880.212209303</v>
          </cell>
        </row>
        <row r="8">
          <cell r="C8" t="str">
            <v>Magazines</v>
          </cell>
          <cell r="D8">
            <v>53</v>
          </cell>
          <cell r="E8">
            <v>15070365.48</v>
          </cell>
        </row>
        <row r="9">
          <cell r="C9" t="str">
            <v>Annuaires téléphoniques</v>
          </cell>
          <cell r="D9">
            <v>6</v>
          </cell>
          <cell r="E9">
            <v>5509078</v>
          </cell>
        </row>
        <row r="10">
          <cell r="C10" t="str">
            <v>Papier à usage général</v>
          </cell>
          <cell r="D10">
            <v>156</v>
          </cell>
          <cell r="E10">
            <v>8801382</v>
          </cell>
        </row>
        <row r="11">
          <cell r="C11" t="str">
            <v>Autres imprimés</v>
          </cell>
          <cell r="D11">
            <v>575</v>
          </cell>
          <cell r="E11">
            <v>28465942.191860463</v>
          </cell>
        </row>
        <row r="12">
          <cell r="C12" t="str">
            <v>Carton ondulé</v>
          </cell>
          <cell r="D12">
            <v>466</v>
          </cell>
          <cell r="E12">
            <v>62730654.746770605</v>
          </cell>
        </row>
        <row r="13">
          <cell r="C13" t="str">
            <v>Sacs de papier kraft</v>
          </cell>
          <cell r="D13">
            <v>56</v>
          </cell>
          <cell r="E13">
            <v>2222731</v>
          </cell>
        </row>
        <row r="14">
          <cell r="C14" t="str">
            <v>Emballages de papier kraft</v>
          </cell>
          <cell r="D14">
            <v>24</v>
          </cell>
          <cell r="E14">
            <v>152471</v>
          </cell>
        </row>
        <row r="15">
          <cell r="C15" t="str">
            <v>Carton plat et autres emballages de papier</v>
          </cell>
          <cell r="D15">
            <v>662</v>
          </cell>
          <cell r="E15">
            <v>87603041.22855331</v>
          </cell>
        </row>
        <row r="16">
          <cell r="C16" t="str">
            <v>Contenants à pignon</v>
          </cell>
          <cell r="D16">
            <v>54</v>
          </cell>
          <cell r="E16">
            <v>13681791.290883297</v>
          </cell>
        </row>
        <row r="17">
          <cell r="C17" t="str">
            <v>Laminés de papier</v>
          </cell>
          <cell r="D17">
            <v>272</v>
          </cell>
          <cell r="E17">
            <v>12864581.928887451</v>
          </cell>
        </row>
        <row r="18">
          <cell r="C18" t="str">
            <v>Contenants aseptiques</v>
          </cell>
          <cell r="D18">
            <v>35</v>
          </cell>
          <cell r="E18">
            <v>5461911.6066059368</v>
          </cell>
        </row>
        <row r="19">
          <cell r="C19" t="str">
            <v>Bouteilles PET</v>
          </cell>
          <cell r="D19">
            <v>204</v>
          </cell>
          <cell r="E19">
            <v>22223485.567695994</v>
          </cell>
        </row>
        <row r="20">
          <cell r="C20" t="str">
            <v>Bouteilles HDPE</v>
          </cell>
          <cell r="D20">
            <v>272</v>
          </cell>
          <cell r="E20">
            <v>17578084.94489044</v>
          </cell>
        </row>
        <row r="21">
          <cell r="C21" t="str">
            <v>Plastiques stratifiés</v>
          </cell>
          <cell r="D21">
            <v>349</v>
          </cell>
          <cell r="E21">
            <v>10683600</v>
          </cell>
        </row>
        <row r="22">
          <cell r="C22" t="str">
            <v>Pellicules HDPE et LDPE</v>
          </cell>
          <cell r="D22">
            <v>471</v>
          </cell>
          <cell r="E22">
            <v>22158672.844446313</v>
          </cell>
        </row>
        <row r="23">
          <cell r="C23" t="str">
            <v>Sacs d'emplettes de pellicules HDPE, LDPE et autre</v>
          </cell>
          <cell r="D23">
            <v>195</v>
          </cell>
          <cell r="E23">
            <v>8805612.4907401893</v>
          </cell>
        </row>
        <row r="24">
          <cell r="C24" t="str">
            <v>Polystyrène expansé alimentaire</v>
          </cell>
          <cell r="D24">
            <v>100</v>
          </cell>
          <cell r="E24">
            <v>5517952.1227987045</v>
          </cell>
        </row>
        <row r="25">
          <cell r="C25" t="str">
            <v>Polystyrène expansé de protection</v>
          </cell>
          <cell r="D25">
            <v>100</v>
          </cell>
          <cell r="E25">
            <v>3608663.8772012959</v>
          </cell>
        </row>
        <row r="26">
          <cell r="C26" t="str">
            <v>Polystyrène non expansé</v>
          </cell>
          <cell r="D26">
            <v>121</v>
          </cell>
          <cell r="E26">
            <v>5518736.7699999996</v>
          </cell>
        </row>
        <row r="27">
          <cell r="C27" t="str">
            <v>Contenants de PET</v>
          </cell>
          <cell r="D27">
            <v>62</v>
          </cell>
          <cell r="E27">
            <v>6133366.0977649214</v>
          </cell>
        </row>
        <row r="28">
          <cell r="C28" t="str">
            <v>Acide polylactique (PLA)</v>
          </cell>
          <cell r="D28">
            <v>35</v>
          </cell>
          <cell r="E28">
            <v>289577.85465116281</v>
          </cell>
        </row>
        <row r="29">
          <cell r="C29" t="str">
            <v>Autres plastiques, polymères et polyuréthanne</v>
          </cell>
          <cell r="D29">
            <v>532</v>
          </cell>
          <cell r="E29">
            <v>27062167.285589196</v>
          </cell>
        </row>
        <row r="30">
          <cell r="C30" t="str">
            <v>Contenants pour aliments et breuvages</v>
          </cell>
          <cell r="D30">
            <v>91</v>
          </cell>
          <cell r="E30">
            <v>2617332.7722722227</v>
          </cell>
        </row>
        <row r="31">
          <cell r="C31" t="str">
            <v>Autres contenants et emballages en aluminium</v>
          </cell>
          <cell r="D31">
            <v>222</v>
          </cell>
          <cell r="E31">
            <v>2030983</v>
          </cell>
        </row>
        <row r="32">
          <cell r="C32" t="str">
            <v>Bombes aérosol</v>
          </cell>
          <cell r="D32">
            <v>100</v>
          </cell>
          <cell r="E32">
            <v>2221808.9040697673</v>
          </cell>
        </row>
        <row r="33">
          <cell r="C33" t="str">
            <v>Autres contenants en acier</v>
          </cell>
          <cell r="D33">
            <v>197</v>
          </cell>
          <cell r="E33">
            <v>30876320.492419209</v>
          </cell>
        </row>
        <row r="34">
          <cell r="C34" t="str">
            <v>Verre clair</v>
          </cell>
          <cell r="D34">
            <v>201</v>
          </cell>
          <cell r="E34">
            <v>55031043.453308627</v>
          </cell>
        </row>
        <row r="35">
          <cell r="C35" t="str">
            <v>Verre coloré</v>
          </cell>
          <cell r="D35">
            <v>123</v>
          </cell>
          <cell r="E35">
            <v>92546829.078565374</v>
          </cell>
        </row>
      </sheetData>
      <sheetData sheetId="4">
        <row r="7">
          <cell r="C7" t="str">
            <v>Magazines</v>
          </cell>
          <cell r="D7">
            <v>22870.478449821665</v>
          </cell>
          <cell r="E7">
            <v>18929.94454826933</v>
          </cell>
        </row>
        <row r="8">
          <cell r="C8" t="str">
            <v>Encarts et circulaires imprimés sur du papier journal</v>
          </cell>
          <cell r="D8">
            <v>129422.99147456553</v>
          </cell>
          <cell r="E8">
            <v>107707.56764467964</v>
          </cell>
        </row>
        <row r="9">
          <cell r="C9" t="str">
            <v>Catalogues et publications</v>
          </cell>
          <cell r="D9">
            <v>27701.001051823641</v>
          </cell>
          <cell r="E9">
            <v>20020.88552483005</v>
          </cell>
        </row>
        <row r="10">
          <cell r="C10" t="str">
            <v>Annuaires téléphoniques</v>
          </cell>
          <cell r="D10">
            <v>11257.366645075939</v>
          </cell>
          <cell r="E10">
            <v>7697.0255462014411</v>
          </cell>
        </row>
        <row r="11">
          <cell r="C11" t="str">
            <v>Autres imprimés</v>
          </cell>
          <cell r="D11">
            <v>31942.335054722207</v>
          </cell>
          <cell r="E11">
            <v>19859.074937143323</v>
          </cell>
        </row>
        <row r="12">
          <cell r="C12" t="str">
            <v>Papier à usage général</v>
          </cell>
          <cell r="D12">
            <v>24325.416929057727</v>
          </cell>
          <cell r="E12">
            <v>16232.209002189051</v>
          </cell>
        </row>
        <row r="13">
          <cell r="D13">
            <v>247519.58960506669</v>
          </cell>
          <cell r="E13">
            <v>190446.70720331284</v>
          </cell>
        </row>
        <row r="16">
          <cell r="C16" t="str">
            <v>Carton ondulé</v>
          </cell>
          <cell r="D16">
            <v>99229.627625276466</v>
          </cell>
          <cell r="E16">
            <v>63420.807481714073</v>
          </cell>
        </row>
        <row r="17">
          <cell r="C17" t="str">
            <v>Emballages de papier kraft</v>
          </cell>
          <cell r="D17">
            <v>11108.913619713599</v>
          </cell>
          <cell r="E17">
            <v>3336.856097565716</v>
          </cell>
        </row>
        <row r="18">
          <cell r="C18" t="str">
            <v>Carton plat et autres emballages de papier</v>
          </cell>
          <cell r="D18">
            <v>95317.674100648554</v>
          </cell>
          <cell r="E18">
            <v>58078.098471118457</v>
          </cell>
        </row>
        <row r="19">
          <cell r="C19" t="str">
            <v>Contenants à pignon</v>
          </cell>
          <cell r="D19">
            <v>13176.095427740336</v>
          </cell>
          <cell r="E19">
            <v>8690.42298586998</v>
          </cell>
        </row>
        <row r="20">
          <cell r="C20" t="str">
            <v>Laminés de papier</v>
          </cell>
          <cell r="D20">
            <v>10960.499150846545</v>
          </cell>
          <cell r="E20">
            <v>3993.3412961500126</v>
          </cell>
        </row>
        <row r="21">
          <cell r="C21" t="str">
            <v>Contenants aseptiques</v>
          </cell>
          <cell r="D21">
            <v>8750.7497105177445</v>
          </cell>
          <cell r="E21">
            <v>4601.6205423100855</v>
          </cell>
        </row>
        <row r="22">
          <cell r="D22">
            <v>238543.55963474323</v>
          </cell>
          <cell r="E22">
            <v>142121.14687472832</v>
          </cell>
        </row>
        <row r="23">
          <cell r="C23" t="str">
            <v>Verre coloré/clair</v>
          </cell>
          <cell r="D23">
            <v>108748.3763727005</v>
          </cell>
          <cell r="E23">
            <v>89233.099307987388</v>
          </cell>
        </row>
        <row r="24">
          <cell r="D24">
            <v>108748.3763727005</v>
          </cell>
          <cell r="E24">
            <v>89233.099307987388</v>
          </cell>
        </row>
        <row r="25">
          <cell r="C25" t="str">
            <v>Autres contenants en acier</v>
          </cell>
          <cell r="D25">
            <v>24173.206945687296</v>
          </cell>
          <cell r="E25">
            <v>15722.848390190098</v>
          </cell>
        </row>
        <row r="26">
          <cell r="C26" t="str">
            <v>Bombes aérosol</v>
          </cell>
          <cell r="D26">
            <v>3457.7411203942947</v>
          </cell>
          <cell r="E26">
            <v>499.44559432799281</v>
          </cell>
        </row>
        <row r="27">
          <cell r="D27">
            <v>27630.94806608159</v>
          </cell>
          <cell r="E27">
            <v>16222.293984518092</v>
          </cell>
        </row>
        <row r="28">
          <cell r="C28" t="str">
            <v>Contenants pour aliments et breuvages</v>
          </cell>
          <cell r="D28">
            <v>3990.1741582344589</v>
          </cell>
          <cell r="E28">
            <v>1695.3387094788484</v>
          </cell>
        </row>
        <row r="29">
          <cell r="C29" t="str">
            <v>Autres contenants et emballages en aluminium</v>
          </cell>
          <cell r="D29">
            <v>3641.1492533280211</v>
          </cell>
          <cell r="E29">
            <v>660.11362200633198</v>
          </cell>
        </row>
        <row r="30">
          <cell r="D30">
            <v>7631.32341156248</v>
          </cell>
          <cell r="E30">
            <v>2355.4523314851804</v>
          </cell>
        </row>
        <row r="31">
          <cell r="C31" t="str">
            <v>Plastiques stratifiés</v>
          </cell>
          <cell r="D31">
            <v>11921.406030748349</v>
          </cell>
          <cell r="E31">
            <v>2340.7364478236605</v>
          </cell>
        </row>
        <row r="32">
          <cell r="C32" t="str">
            <v>Bouteilles PET</v>
          </cell>
          <cell r="D32">
            <v>24005.770847599735</v>
          </cell>
          <cell r="E32">
            <v>13892.333698377859</v>
          </cell>
        </row>
        <row r="33">
          <cell r="C33" t="str">
            <v>Contenants de PET</v>
          </cell>
          <cell r="D33">
            <v>5326.9474394624149</v>
          </cell>
          <cell r="E33">
            <v>2496.2145690379762</v>
          </cell>
        </row>
        <row r="34">
          <cell r="C34" t="str">
            <v>Bouteilles HDPE</v>
          </cell>
          <cell r="D34">
            <v>19355.208464792489</v>
          </cell>
          <cell r="E34">
            <v>11556.472548156487</v>
          </cell>
        </row>
        <row r="35">
          <cell r="C35" t="str">
            <v>Sacs d'emplettes de pellicules HDPE, LDPE et autre</v>
          </cell>
          <cell r="D35">
            <v>29516.077236437723</v>
          </cell>
          <cell r="E35">
            <v>1925.0355932852115</v>
          </cell>
        </row>
        <row r="36">
          <cell r="C36" t="str">
            <v>Pellicules HDPE et LDPE</v>
          </cell>
          <cell r="D36">
            <v>17443.958966592123</v>
          </cell>
          <cell r="E36">
            <v>5003.7504069011411</v>
          </cell>
        </row>
        <row r="37">
          <cell r="C37" t="str">
            <v>Polystyrène expansé</v>
          </cell>
          <cell r="D37">
            <v>11954.533148414492</v>
          </cell>
          <cell r="E37">
            <v>1170.3251101654996</v>
          </cell>
        </row>
        <row r="38">
          <cell r="C38" t="str">
            <v>Polystyrène non expansé</v>
          </cell>
          <cell r="D38">
            <v>7228.7386315299027</v>
          </cell>
          <cell r="E38">
            <v>2289.3408208412516</v>
          </cell>
        </row>
        <row r="39">
          <cell r="C39" t="str">
            <v>Acide polylactique (PLA)</v>
          </cell>
          <cell r="D39">
            <v>55.272237984395566</v>
          </cell>
          <cell r="E39">
            <v>12.398458949282904</v>
          </cell>
        </row>
        <row r="40">
          <cell r="C40" t="str">
            <v>Autres plastiques, polymères et polyuréthanne</v>
          </cell>
          <cell r="D40">
            <v>29676.967370546317</v>
          </cell>
          <cell r="E40">
            <v>11593.759921169531</v>
          </cell>
        </row>
      </sheetData>
      <sheetData sheetId="5">
        <row r="7">
          <cell r="C7" t="str">
            <v>Encarts et circulaires imprimés sur du papier journal</v>
          </cell>
        </row>
        <row r="8">
          <cell r="C8" t="str">
            <v>Catalogues et publications</v>
          </cell>
        </row>
        <row r="9">
          <cell r="C9" t="str">
            <v>Magazines</v>
          </cell>
        </row>
        <row r="10">
          <cell r="C10" t="str">
            <v>Annuaires téléphoniques</v>
          </cell>
        </row>
        <row r="11">
          <cell r="C11" t="str">
            <v>Papier à usage général</v>
          </cell>
        </row>
        <row r="12">
          <cell r="C12" t="str">
            <v>Autres imprimés</v>
          </cell>
        </row>
        <row r="14">
          <cell r="C14" t="str">
            <v>Carton ondulé</v>
          </cell>
        </row>
        <row r="15">
          <cell r="C15" t="str">
            <v>Sacs de papier kraft</v>
          </cell>
          <cell r="E15" t="str">
            <v>Emballages de papier kraft</v>
          </cell>
          <cell r="G15">
            <v>0.93580714398185927</v>
          </cell>
        </row>
        <row r="16">
          <cell r="C16" t="str">
            <v>Emballages de papier kraft</v>
          </cell>
          <cell r="E16" t="str">
            <v>Emballages de papier kraft</v>
          </cell>
          <cell r="G16">
            <v>6.4192856018140773E-2</v>
          </cell>
        </row>
        <row r="17">
          <cell r="C17" t="str">
            <v>Carton plat et autres emballages de papier</v>
          </cell>
        </row>
        <row r="18">
          <cell r="C18" t="str">
            <v>Contenants à pignon</v>
          </cell>
        </row>
        <row r="19">
          <cell r="C19" t="str">
            <v>Laminés de papier</v>
          </cell>
        </row>
        <row r="20">
          <cell r="C20" t="str">
            <v>Contenants aseptiques</v>
          </cell>
        </row>
        <row r="21">
          <cell r="C21" t="str">
            <v>Bouteilles PET</v>
          </cell>
        </row>
        <row r="22">
          <cell r="C22" t="str">
            <v>Bouteilles HDPE</v>
          </cell>
        </row>
        <row r="23">
          <cell r="C23" t="str">
            <v>Plastiques stratifiés</v>
          </cell>
        </row>
        <row r="24">
          <cell r="C24" t="str">
            <v>Pellicules HDPE et LDPE</v>
          </cell>
        </row>
        <row r="25">
          <cell r="C25" t="str">
            <v>Sacs d'emplettes de pellicules HDPE, LDPE et autre</v>
          </cell>
        </row>
        <row r="26">
          <cell r="C26" t="str">
            <v>Polystyrène expansé alimentaire</v>
          </cell>
          <cell r="E26" t="str">
            <v>Polystyrène expansé</v>
          </cell>
          <cell r="G26">
            <v>0.60460000977346962</v>
          </cell>
        </row>
        <row r="27">
          <cell r="C27" t="str">
            <v>Polystyrène expansé de protection</v>
          </cell>
          <cell r="E27" t="str">
            <v>Polystyrène expansé</v>
          </cell>
          <cell r="G27">
            <v>0.39539999022653038</v>
          </cell>
        </row>
        <row r="28">
          <cell r="C28" t="str">
            <v>Polystyrène non expansé</v>
          </cell>
        </row>
        <row r="29">
          <cell r="C29" t="str">
            <v>Contenants de PET</v>
          </cell>
        </row>
        <row r="30">
          <cell r="C30" t="str">
            <v>Acide polylactique (PLA)</v>
          </cell>
        </row>
        <row r="31">
          <cell r="C31" t="str">
            <v>Autres plastiques, polymères et polyuréthanne</v>
          </cell>
        </row>
        <row r="32">
          <cell r="C32" t="str">
            <v>Contenants pour aliments et breuvages</v>
          </cell>
        </row>
        <row r="33">
          <cell r="C33" t="str">
            <v>Autres contenants et emballages en aluminium</v>
          </cell>
        </row>
        <row r="34">
          <cell r="C34" t="str">
            <v>Bombes aérosol</v>
          </cell>
        </row>
        <row r="35">
          <cell r="C35" t="str">
            <v>Autres contenants en acier</v>
          </cell>
        </row>
        <row r="36">
          <cell r="C36" t="str">
            <v>Verre clair</v>
          </cell>
          <cell r="E36" t="str">
            <v>Verre coloré/clair</v>
          </cell>
          <cell r="G36">
            <v>0.37289495036881609</v>
          </cell>
        </row>
        <row r="37">
          <cell r="C37" t="str">
            <v>Verre coloré</v>
          </cell>
          <cell r="E37" t="str">
            <v>Verre coloré/clair</v>
          </cell>
          <cell r="G37">
            <v>0.62710504963118385</v>
          </cell>
        </row>
      </sheetData>
      <sheetData sheetId="6">
        <row r="7">
          <cell r="C7">
            <v>143281979.68906832</v>
          </cell>
        </row>
        <row r="14">
          <cell r="C14">
            <v>145239801.92507499</v>
          </cell>
        </row>
        <row r="16">
          <cell r="C16">
            <v>130134862.52486718</v>
          </cell>
        </row>
        <row r="27">
          <cell r="C27">
            <v>8219789.5364456195</v>
          </cell>
        </row>
        <row r="33">
          <cell r="C33">
            <v>2767093.0412262562</v>
          </cell>
        </row>
      </sheetData>
      <sheetData sheetId="7" refreshError="1"/>
      <sheetData sheetId="8" refreshError="1"/>
      <sheetData sheetId="9" refreshError="1"/>
      <sheetData sheetId="10" refreshError="1"/>
      <sheetData sheetId="11" refreshError="1"/>
      <sheetData sheetId="12">
        <row r="10">
          <cell r="B10" t="str">
            <v>Encarts et circulaires imprimés sur du papier journal</v>
          </cell>
          <cell r="L10">
            <v>151.00551902208446</v>
          </cell>
        </row>
        <row r="11">
          <cell r="B11" t="str">
            <v>Catalogues et publications</v>
          </cell>
          <cell r="L11">
            <v>225.34443791570226</v>
          </cell>
        </row>
        <row r="12">
          <cell r="B12" t="str">
            <v>Magazines</v>
          </cell>
          <cell r="L12">
            <v>225.34443791570226</v>
          </cell>
        </row>
        <row r="13">
          <cell r="B13" t="str">
            <v>Annuaires téléphoniques</v>
          </cell>
          <cell r="L13">
            <v>225.34443791570226</v>
          </cell>
        </row>
        <row r="14">
          <cell r="B14" t="str">
            <v>Papier à usage général</v>
          </cell>
          <cell r="L14">
            <v>225.34443791570226</v>
          </cell>
        </row>
        <row r="15">
          <cell r="B15" t="str">
            <v>Autres imprimés</v>
          </cell>
          <cell r="L15">
            <v>225.34443791570226</v>
          </cell>
        </row>
        <row r="16">
          <cell r="L16">
            <v>183.72487881054653</v>
          </cell>
        </row>
        <row r="19">
          <cell r="B19" t="str">
            <v>Carton ondulé</v>
          </cell>
          <cell r="L19">
            <v>264.70244732456689</v>
          </cell>
        </row>
        <row r="20">
          <cell r="B20" t="str">
            <v>Sacs de papier kraft</v>
          </cell>
          <cell r="L20">
            <v>264.70244732456689</v>
          </cell>
        </row>
        <row r="21">
          <cell r="B21" t="str">
            <v>Emballages de papier kraft</v>
          </cell>
          <cell r="L21">
            <v>264.70244732456689</v>
          </cell>
        </row>
        <row r="22">
          <cell r="B22" t="str">
            <v>Carton plat et autres emballages de papier</v>
          </cell>
          <cell r="L22">
            <v>169.37906517285217</v>
          </cell>
        </row>
        <row r="23">
          <cell r="B23" t="str">
            <v>Contenants à pignon</v>
          </cell>
          <cell r="L23">
            <v>162.94905263542205</v>
          </cell>
        </row>
        <row r="24">
          <cell r="B24" t="str">
            <v>Laminés de papier</v>
          </cell>
          <cell r="L24">
            <v>181.98645264670867</v>
          </cell>
        </row>
        <row r="25">
          <cell r="B25" t="str">
            <v>Contenants aseptiques</v>
          </cell>
          <cell r="L25">
            <v>284.79958334127275</v>
          </cell>
        </row>
        <row r="26">
          <cell r="L26">
            <v>206.79162043990837</v>
          </cell>
        </row>
        <row r="27">
          <cell r="B27" t="str">
            <v>Bouteilles PET</v>
          </cell>
          <cell r="L27">
            <v>220.27113002740683</v>
          </cell>
        </row>
        <row r="28">
          <cell r="B28" t="str">
            <v>Bouteilles HDPE</v>
          </cell>
          <cell r="L28">
            <v>217.41065375894459</v>
          </cell>
        </row>
        <row r="29">
          <cell r="B29" t="str">
            <v>Plastiques stratifiés</v>
          </cell>
          <cell r="L29">
            <v>517.80913166139396</v>
          </cell>
        </row>
        <row r="30">
          <cell r="B30" t="str">
            <v>Pellicules HDPE et LDPE</v>
          </cell>
          <cell r="L30">
            <v>517.80913166139396</v>
          </cell>
        </row>
        <row r="31">
          <cell r="B31" t="str">
            <v>Sacs d'emplettes de pellicules HDPE, LDPE et autre</v>
          </cell>
          <cell r="L31">
            <v>517.80913166139396</v>
          </cell>
        </row>
        <row r="32">
          <cell r="B32" t="str">
            <v>Polystyrène expansé alimentaire</v>
          </cell>
          <cell r="L32">
            <v>681.33413893092722</v>
          </cell>
        </row>
        <row r="33">
          <cell r="B33" t="str">
            <v>Polystyrène expansé de protection</v>
          </cell>
          <cell r="L33">
            <v>681.33413893092722</v>
          </cell>
        </row>
        <row r="34">
          <cell r="B34" t="str">
            <v>Polystyrène non expansé</v>
          </cell>
          <cell r="L34">
            <v>681.33413893092722</v>
          </cell>
        </row>
        <row r="35">
          <cell r="B35" t="str">
            <v>Contenants de PET</v>
          </cell>
          <cell r="L35">
            <v>266.3733345096382</v>
          </cell>
        </row>
        <row r="36">
          <cell r="B36" t="str">
            <v>Acide polylactique (PLA)</v>
          </cell>
          <cell r="L36">
            <v>681.33413893092722</v>
          </cell>
        </row>
        <row r="37">
          <cell r="B37" t="str">
            <v>Autres plastiques, polymères et polyuréthanne</v>
          </cell>
          <cell r="L37">
            <v>266.3733345096382</v>
          </cell>
        </row>
        <row r="38">
          <cell r="L38">
            <v>380.46476359879273</v>
          </cell>
        </row>
        <row r="39">
          <cell r="B39" t="str">
            <v>Contenants pour aliments et breuvages</v>
          </cell>
          <cell r="L39">
            <v>187.76532228720001</v>
          </cell>
        </row>
        <row r="40">
          <cell r="B40" t="str">
            <v>Autres contenants et emballages en aluminium</v>
          </cell>
          <cell r="L40">
            <v>187.76532228720001</v>
          </cell>
        </row>
        <row r="41">
          <cell r="L41">
            <v>187.76532228720004</v>
          </cell>
        </row>
        <row r="42">
          <cell r="B42" t="str">
            <v>Bombes aérosol</v>
          </cell>
          <cell r="L42">
            <v>114.87125802496932</v>
          </cell>
        </row>
        <row r="43">
          <cell r="B43" t="str">
            <v>Autres contenants en acier</v>
          </cell>
          <cell r="L43">
            <v>114.87125802496932</v>
          </cell>
        </row>
        <row r="44">
          <cell r="L44">
            <v>114.87125802496932</v>
          </cell>
        </row>
        <row r="45">
          <cell r="B45" t="str">
            <v>Verre clair</v>
          </cell>
          <cell r="L45">
            <v>97.114130118586175</v>
          </cell>
        </row>
        <row r="46">
          <cell r="B46" t="str">
            <v>Verre coloré</v>
          </cell>
          <cell r="L46">
            <v>94.406710977685265</v>
          </cell>
        </row>
        <row r="47">
          <cell r="L47">
            <v>95.416293903859099</v>
          </cell>
        </row>
        <row r="48">
          <cell r="L48">
            <v>212.67044352082857</v>
          </cell>
        </row>
        <row r="50">
          <cell r="L50">
            <v>204.56338747811273</v>
          </cell>
        </row>
      </sheetData>
      <sheetData sheetId="13" refreshError="1"/>
      <sheetData sheetId="14" refreshError="1"/>
    </sheetDataSet>
  </externalBook>
</externalLink>
</file>

<file path=xl/tables/table1.xml><?xml version="1.0" encoding="utf-8"?>
<table xmlns="http://schemas.openxmlformats.org/spreadsheetml/2006/main" id="1" name="tblMatières" displayName="tblMatières" ref="B4:X35" totalsRowCount="1" headerRowDxfId="48" dataDxfId="47" totalsRowDxfId="46">
  <tableColumns count="23">
    <tableColumn id="2" name="Catégorie" totalsRowLabel="Total" dataDxfId="45" totalsRowDxfId="44"/>
    <tableColumn id="3" name="Sous-catégorie" dataDxfId="43" totalsRowDxfId="42"/>
    <tableColumn id="1" name="Matière" dataDxfId="41" totalsRowDxfId="40"/>
    <tableColumn id="26" name="Ordre" dataDxfId="39" totalsRowDxfId="38"/>
    <tableColumn id="4" name="Nombre déclarations" totalsRowFunction="sum" dataDxfId="37" totalsRowDxfId="36">
      <calculatedColumnFormula>INDEX(rgDéclaration_NbDécl,MATCH(tblMatières[[#This Row],[Matière]],rgDéclaration_Matières,0))</calculatedColumnFormula>
    </tableColumn>
    <tableColumn id="5" name="Quantité attendue net (kg)" totalsRowFunction="sum" dataDxfId="35" totalsRowDxfId="34">
      <calculatedColumnFormula>INT(INDEX(rgDéclaration_QtéFinale,MATCH(tblMatières[[#This Row],[Matière]],rgDéclaration_Matières,0)))</calculatedColumnFormula>
    </tableColumn>
    <tableColumn id="6" name="Quantité déclarée (tonnes)" totalsRowFunction="sum" dataDxfId="33" totalsRowDxfId="32">
      <calculatedColumnFormula>tblMatières[[#This Row],[Quantité attendue net (kg)]]/1000</calculatedColumnFormula>
    </tableColumn>
    <tableColumn id="7" name="Quantité générée (tonnes)" totalsRowFunction="sum" dataDxfId="31" totalsRowDxfId="30">
      <calculatedColumnFormula>tblMatières[[#This Row],[Quantité déclarée (tonnes)]]</calculatedColumnFormula>
    </tableColumn>
    <tableColumn id="8" name="Quantité récupérée (tonnes)" totalsRowFunction="sum" dataDxfId="29" totalsRowDxfId="28">
      <calculatedColumnFormula>tblMatières[[#This Row],[Quantité générée (tonnes)]]*tblMatières[[#This Row],[% récupération]]</calculatedColumnFormula>
    </tableColumn>
    <tableColumn id="10" name="Quantité éliminée (t)" totalsRowFunction="sum" dataDxfId="27" totalsRowDxfId="26">
      <calculatedColumnFormula>tblMatières[[#This Row],[Quantité générée (tonnes)]]-tblMatières[[#This Row],[Quantité récupérée (tonnes)]]</calculatedColumnFormula>
    </tableColumn>
    <tableColumn id="9" name="% récupération" dataDxfId="25" totalsRowDxfId="24" dataCellStyle="Pourcentage">
      <calculatedColumnFormula>INDEX(Caractérisation!$C$7:$C$36,MATCH(tblMatières[[#This Row],[Matière]],Caractérisation!$B$7:$B$36,0))</calculatedColumnFormula>
    </tableColumn>
    <tableColumn id="12" name="Coût brut" dataDxfId="23" totalsRowDxfId="22" dataCellStyle="Monétaire">
      <calculatedColumnFormula>INDEX(Paramètres!$C$46:$C$75,MATCH(tblMatières[[#This Row],[Matière]],Paramètres!$B$46:$B$75,0))</calculatedColumnFormula>
    </tableColumn>
    <tableColumn id="13" name="Revenu brut" dataDxfId="21" totalsRowDxfId="20" dataCellStyle="Monétaire">
      <calculatedColumnFormula>INDEX(Paramètres!$D$46:$D$75,MATCH(tblMatières[[#This Row],[Matière]],Paramètres!$B$46:$B$75,0))</calculatedColumnFormula>
    </tableColumn>
    <tableColumn id="11" name="Coût net ACA" dataDxfId="19" totalsRowDxfId="18" dataCellStyle="Monétaire">
      <calculatedColumnFormula>tblMatières[[#This Row],[Coût brut]]-tblMatières[[#This Row],[Revenu brut]]</calculatedColumnFormula>
    </tableColumn>
    <tableColumn id="14" name="Frais d'étude" dataDxfId="17" totalsRowDxfId="16" dataCellStyle="Monétaire">
      <calculatedColumnFormula>INDEX(Paramètres!$E$46:$E$75,MATCH(tblMatières[[#This Row],[Matière]],Paramètres!$B$46:$B$75,0))</calculatedColumnFormula>
    </tableColumn>
    <tableColumn id="34" name="% Quantité contenu recyclé" dataDxfId="15" totalsRowDxfId="14" dataCellStyle="Pourcentage">
      <calculatedColumnFormula>INDEX('Crédit contenu recyclé'!$F$6:$F$42,MATCH(tblMatières[[#This Row],[Matière]],'Crédit contenu recyclé'!$B$6:$B$42,0))</calculatedColumnFormula>
    </tableColumn>
    <tableColumn id="19" name="Coût - Facteur 1" totalsRowFunction="sum" dataDxfId="13" totalsRowDxfId="12" dataCellStyle="Monétaire">
      <calculatedColumnFormula>INDEX('Facteur 1'!$H$10:$H$46,MATCH(tblMatières[[#This Row],[Matière]],'Facteur 1'!$B$10:$B$46,0))</calculatedColumnFormula>
    </tableColumn>
    <tableColumn id="21" name="Coût - Facteur 2" totalsRowFunction="sum" dataDxfId="11" totalsRowDxfId="10" dataCellStyle="Monétaire">
      <calculatedColumnFormula>INDEX('Facteur 2'!$J$10:$J$46,MATCH(tblMatières[[#This Row],[Matière]],'Facteur 2'!$B$10:$B$46,0))</calculatedColumnFormula>
    </tableColumn>
    <tableColumn id="22" name="Coût - Facteur 3" totalsRowFunction="sum" dataDxfId="9" totalsRowDxfId="8" dataCellStyle="Monétaire">
      <calculatedColumnFormula>INDEX('Facteur 3'!$L$10:$L$46,MATCH(tblMatières[[#This Row],[Matière]],'Facteur 3'!$B$10:$B$46,0))</calculatedColumnFormula>
    </tableColumn>
    <tableColumn id="23" name="Coût - Frais admin" totalsRowFunction="sum" dataDxfId="7" totalsRowDxfId="6" dataCellStyle="Monétaire">
      <calculatedColumnFormula>INDEX('Frais de gestion &amp; RQ'!$G$10:$G$46,MATCH(tblMatières[[#This Row],[Matière]],'Frais de gestion &amp; RQ'!$B$10:$B$46,0))</calculatedColumnFormula>
    </tableColumn>
    <tableColumn id="24" name="Coût - Crédit" totalsRowFunction="sum" dataDxfId="5" totalsRowDxfId="4" dataCellStyle="Monétaire">
      <calculatedColumnFormula>INDEX('Crédit contenu recyclé'!$J$6:$J$42,MATCH(tblMatières[[#This Row],[Matière]],'Crédit contenu recyclé'!$B$6:$B$42,0))</calculatedColumnFormula>
    </tableColumn>
    <tableColumn id="17" name="Fonds de stabilité" totalsRowFunction="sum" dataDxfId="3" totalsRowDxfId="2" dataCellStyle="Monétaire">
      <calculatedColumnFormula>INDEX(Paramètres!$F$46:$F$75,MATCH(tblMatières[[#This Row],[Matière]],Paramètres!$B$46:$B$75,0))</calculatedColumnFormula>
    </tableColumn>
    <tableColumn id="15" name="Tarif final" dataDxfId="1" totalsRowDxfId="0" dataCellStyle="Monétaire">
      <calculatedColumnFormula>INDEX(rgTarif_TxFinal,MATCH(tblMatières[[#This Row],[Matière]],rgTarif_Matières,0))</calculatedColumnFormula>
    </tableColumn>
  </tableColumns>
  <tableStyleInfo name="TableStyleMedium1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oentreprises.qc.ca/sinformer-et-declarer/tarifs-et-cadre-legal/tarifs/consultation-des-entreprises-sur-le-tarif"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4"/>
  <sheetViews>
    <sheetView showGridLines="0" zoomScale="90" zoomScaleNormal="90" workbookViewId="0">
      <selection activeCell="I1" sqref="I1"/>
    </sheetView>
  </sheetViews>
  <sheetFormatPr baseColWidth="10" defaultRowHeight="15"/>
  <cols>
    <col min="2" max="2" width="118.42578125" customWidth="1"/>
  </cols>
  <sheetData>
    <row r="44" spans="2:2">
      <c r="B44" s="527" t="s">
        <v>211</v>
      </c>
    </row>
  </sheetData>
  <hyperlinks>
    <hyperlink ref="B44"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C000"/>
    <pageSetUpPr fitToPage="1"/>
  </sheetPr>
  <dimension ref="A1:L54"/>
  <sheetViews>
    <sheetView showGridLines="0" zoomScale="80" zoomScaleNormal="80" zoomScaleSheetLayoutView="55" workbookViewId="0">
      <pane xSplit="2" ySplit="9" topLeftCell="C28" activePane="bottomRight" state="frozen"/>
      <selection pane="topRight" activeCell="C1" sqref="C1"/>
      <selection pane="bottomLeft" activeCell="A10" sqref="A10"/>
      <selection pane="bottomRight" activeCell="K10" sqref="K10:K48"/>
    </sheetView>
  </sheetViews>
  <sheetFormatPr baseColWidth="10" defaultColWidth="9.140625" defaultRowHeight="15"/>
  <cols>
    <col min="1" max="1" width="25.42578125" customWidth="1"/>
    <col min="2" max="2" width="64.5703125" bestFit="1" customWidth="1"/>
    <col min="3" max="3" width="16.140625" customWidth="1"/>
    <col min="4" max="4" width="17" customWidth="1"/>
    <col min="5" max="5" width="15.85546875" customWidth="1"/>
    <col min="6" max="6" width="17.42578125" customWidth="1"/>
    <col min="7" max="7" width="14" bestFit="1" customWidth="1"/>
    <col min="8" max="8" width="21" bestFit="1" customWidth="1"/>
    <col min="9" max="9" width="18.5703125" bestFit="1" customWidth="1"/>
    <col min="10" max="10" width="19.5703125" bestFit="1" customWidth="1"/>
    <col min="11" max="11" width="15.7109375" bestFit="1" customWidth="1"/>
    <col min="12" max="12" width="17.85546875" bestFit="1" customWidth="1"/>
  </cols>
  <sheetData>
    <row r="1" spans="1:12" s="149" customFormat="1" ht="15.75" thickBot="1">
      <c r="A1" s="4" t="s">
        <v>58</v>
      </c>
      <c r="B1" s="36"/>
    </row>
    <row r="2" spans="1:12" ht="7.5" customHeight="1" thickBot="1">
      <c r="A2" s="35"/>
      <c r="B2" s="35"/>
    </row>
    <row r="3" spans="1:12" ht="18.75" thickBot="1">
      <c r="A3" s="83" t="str">
        <f>Paramètres!B4</f>
        <v>Tarif</v>
      </c>
      <c r="B3" s="236">
        <f>AnnéeTarif</f>
        <v>2019</v>
      </c>
    </row>
    <row r="4" spans="1:12" ht="18.75" thickBot="1">
      <c r="A4" s="83" t="str">
        <f>Paramètres!B5</f>
        <v>Version</v>
      </c>
      <c r="B4" s="236" t="str">
        <f>Paramètres!C5</f>
        <v>Projet de Tarif</v>
      </c>
    </row>
    <row r="5" spans="1:12" ht="18.75" thickBot="1">
      <c r="A5" s="83" t="str">
        <f>Paramètres!B6</f>
        <v>Année civile de référence</v>
      </c>
      <c r="B5" s="84">
        <f>AnnéeRéf</f>
        <v>2018</v>
      </c>
    </row>
    <row r="6" spans="1:12" ht="15.75" customHeight="1">
      <c r="A6" s="94"/>
      <c r="B6" s="164"/>
      <c r="C6" s="622"/>
      <c r="D6" s="623"/>
      <c r="E6" s="623"/>
      <c r="F6" s="624"/>
      <c r="G6" s="611" t="s">
        <v>117</v>
      </c>
      <c r="H6" s="612"/>
      <c r="I6" s="612"/>
      <c r="J6" s="612"/>
      <c r="K6" s="612"/>
      <c r="L6" s="612"/>
    </row>
    <row r="7" spans="1:12" ht="50.25" customHeight="1" thickBot="1">
      <c r="A7" s="42" t="str">
        <f>'Sommaire exécutif'!A7</f>
        <v>CATÉGORIE</v>
      </c>
      <c r="B7" s="18" t="str">
        <f>'Sommaire exécutif'!B7</f>
        <v>Matière</v>
      </c>
      <c r="C7" s="44" t="str">
        <f>'Facteur 1'!C7</f>
        <v xml:space="preserve">Quantité générée
(tonnes) </v>
      </c>
      <c r="D7" s="44" t="str">
        <f>'Facteur 1'!D7</f>
        <v xml:space="preserve">Quantité récupérée
(tonnes) </v>
      </c>
      <c r="E7" s="44" t="str">
        <f>'Facteur 1'!E7</f>
        <v xml:space="preserve">Quantité éliminée
(tonnes) </v>
      </c>
      <c r="F7" s="47" t="str">
        <f>'Facteur 1'!F7</f>
        <v>Quantité déclarée 
(tonnes)</v>
      </c>
      <c r="G7" s="73" t="s">
        <v>86</v>
      </c>
      <c r="H7" s="160" t="s">
        <v>87</v>
      </c>
      <c r="I7" s="160" t="s">
        <v>116</v>
      </c>
      <c r="J7" s="160" t="s">
        <v>88</v>
      </c>
      <c r="K7" s="160" t="str">
        <f>'Facteur 1'!$G$7</f>
        <v>Proportion par catégorie
(%)</v>
      </c>
      <c r="L7" s="160" t="s">
        <v>89</v>
      </c>
    </row>
    <row r="8" spans="1:12" ht="15.75" thickBot="1">
      <c r="A8" s="89"/>
      <c r="B8" s="161" t="s">
        <v>69</v>
      </c>
      <c r="C8" s="70"/>
      <c r="D8" s="70"/>
      <c r="E8" s="70"/>
      <c r="F8" s="71"/>
      <c r="G8" s="162">
        <v>0.2</v>
      </c>
      <c r="H8" s="163"/>
      <c r="I8" s="163"/>
      <c r="J8" s="163"/>
      <c r="K8" s="163"/>
      <c r="L8" s="163"/>
    </row>
    <row r="9" spans="1:12">
      <c r="A9" s="43" t="str">
        <f>'Sommaire exécutif'!A8</f>
        <v>IMPRIMÉS</v>
      </c>
      <c r="B9" s="45"/>
      <c r="C9" s="93"/>
      <c r="D9" s="75"/>
      <c r="E9" s="75"/>
      <c r="F9" s="92"/>
      <c r="G9" s="123"/>
      <c r="H9" s="77"/>
      <c r="I9" s="124"/>
      <c r="J9" s="124"/>
      <c r="K9" s="75"/>
      <c r="L9" s="129"/>
    </row>
    <row r="10" spans="1:12">
      <c r="A10" s="38"/>
      <c r="B10" s="37" t="str">
        <f>INDEX(ListeMatières,1)</f>
        <v>Encarts et circulaires imprimés sur du papier journal</v>
      </c>
      <c r="C10" s="58">
        <f>INDEX(tblMatières[Quantité générée (tonnes)],MATCH($B10,tblMatières[Matière],0))</f>
        <v>92875.491999999998</v>
      </c>
      <c r="D10" s="26">
        <f>INDEX(tblMatières[Quantité récupérée (tonnes)],MATCH($B10,tblMatières[Matière],0))</f>
        <v>79077.813804180056</v>
      </c>
      <c r="E10" s="26">
        <f t="shared" ref="E10:E15" si="0">C10-D10</f>
        <v>13797.678195819943</v>
      </c>
      <c r="F10" s="48">
        <f>INDEX(tblMatières[Quantité déclarée (tonnes)],MATCH($B10,tblMatières[Matière],0))</f>
        <v>92875.491999999998</v>
      </c>
      <c r="G10" s="198">
        <f t="shared" ref="G10:G15" si="1">ObjectifRecup*C10</f>
        <v>92875.491999999998</v>
      </c>
      <c r="H10" s="205">
        <f t="shared" ref="H10:H15" si="2">G10-D10</f>
        <v>13797.678195819943</v>
      </c>
      <c r="I10" s="211">
        <f>INDEX(tblMatières[Coût net ACA],MATCH($B10,tblMatières[Matière],0))</f>
        <v>137.24643304840907</v>
      </c>
      <c r="J10" s="308">
        <f t="shared" ref="J10:J15" si="3">MAX(0,I10*H10)</f>
        <v>1893682.1167260956</v>
      </c>
      <c r="K10" s="576">
        <f t="shared" ref="K10:K15" si="4">$J10/$J$16</f>
        <v>0.48084998601015311</v>
      </c>
      <c r="L10" s="308">
        <f t="shared" ref="L10:L15" si="5">K10*$L$53</f>
        <v>3017903.5278341179</v>
      </c>
    </row>
    <row r="11" spans="1:12">
      <c r="A11" s="38"/>
      <c r="B11" s="37" t="str">
        <f>INDEX(ListeMatières,2)</f>
        <v>Catalogues et publications</v>
      </c>
      <c r="C11" s="58">
        <f>INDEX(tblMatières[Quantité générée (tonnes)],MATCH($B11,tblMatières[Matière],0))</f>
        <v>11747.308000000001</v>
      </c>
      <c r="D11" s="26">
        <f>INDEX(tblMatières[Quantité récupérée (tonnes)],MATCH($B11,tblMatières[Matière],0))</f>
        <v>9684.3486270753401</v>
      </c>
      <c r="E11" s="26">
        <f t="shared" si="0"/>
        <v>2062.9593729246608</v>
      </c>
      <c r="F11" s="48">
        <f>INDEX(tblMatières[Quantité déclarée (tonnes)],MATCH($B11,tblMatières[Matière],0))</f>
        <v>11747.308000000001</v>
      </c>
      <c r="G11" s="199">
        <f t="shared" si="1"/>
        <v>11747.308000000001</v>
      </c>
      <c r="H11" s="206">
        <f t="shared" si="2"/>
        <v>2062.9593729246608</v>
      </c>
      <c r="I11" s="212">
        <f>INDEX(tblMatières[Coût net ACA],MATCH($B11,tblMatières[Matière],0))</f>
        <v>137.28276209641774</v>
      </c>
      <c r="J11" s="309">
        <f t="shared" si="3"/>
        <v>283208.76080779132</v>
      </c>
      <c r="K11" s="577">
        <f t="shared" si="4"/>
        <v>7.1913299211916581E-2</v>
      </c>
      <c r="L11" s="310">
        <f t="shared" si="5"/>
        <v>451341.17854638147</v>
      </c>
    </row>
    <row r="12" spans="1:12">
      <c r="A12" s="38"/>
      <c r="B12" s="37" t="str">
        <f>INDEX(ListeMatières,3)</f>
        <v>Magazines</v>
      </c>
      <c r="C12" s="58">
        <f>INDEX(tblMatières[Quantité générée (tonnes)],MATCH($B12,tblMatières[Matière],0))</f>
        <v>6696.5619999999999</v>
      </c>
      <c r="D12" s="26">
        <f>INDEX(tblMatières[Quantité récupérée (tonnes)],MATCH($B12,tblMatières[Matière],0))</f>
        <v>5734.7024889441509</v>
      </c>
      <c r="E12" s="26">
        <f t="shared" si="0"/>
        <v>961.859511055849</v>
      </c>
      <c r="F12" s="48">
        <f>INDEX(tblMatières[Quantité déclarée (tonnes)],MATCH($B12,tblMatières[Matière],0))</f>
        <v>6696.5619999999999</v>
      </c>
      <c r="G12" s="199">
        <f t="shared" si="1"/>
        <v>6696.5619999999999</v>
      </c>
      <c r="H12" s="206">
        <f t="shared" si="2"/>
        <v>961.859511055849</v>
      </c>
      <c r="I12" s="213">
        <f>INDEX(tblMatières[Coût net ACA],MATCH($B12,tblMatières[Matière],0))</f>
        <v>134.00499370673231</v>
      </c>
      <c r="J12" s="310">
        <f t="shared" si="3"/>
        <v>128893.97772579966</v>
      </c>
      <c r="K12" s="577">
        <f t="shared" si="4"/>
        <v>3.2729182389595553E-2</v>
      </c>
      <c r="L12" s="310">
        <f t="shared" si="5"/>
        <v>205414.40754996947</v>
      </c>
    </row>
    <row r="13" spans="1:12">
      <c r="A13" s="38"/>
      <c r="B13" s="37" t="str">
        <f>INDEX(ListeMatières,4)</f>
        <v>Annuaires téléphoniques</v>
      </c>
      <c r="C13" s="58">
        <f>INDEX(tblMatières[Quantité générée (tonnes)],MATCH($B13,tblMatières[Matière],0))</f>
        <v>587.05999999999995</v>
      </c>
      <c r="D13" s="26">
        <f>INDEX(tblMatières[Quantité récupérée (tonnes)],MATCH($B13,tblMatières[Matière],0))</f>
        <v>478.80496393624605</v>
      </c>
      <c r="E13" s="26">
        <f t="shared" si="0"/>
        <v>108.25503606375389</v>
      </c>
      <c r="F13" s="48">
        <f>INDEX(tblMatières[Quantité déclarée (tonnes)],MATCH($B13,tblMatières[Matière],0))</f>
        <v>587.05999999999995</v>
      </c>
      <c r="G13" s="199">
        <f t="shared" si="1"/>
        <v>587.05999999999995</v>
      </c>
      <c r="H13" s="206">
        <f t="shared" si="2"/>
        <v>108.25503606375389</v>
      </c>
      <c r="I13" s="213">
        <f>INDEX(tblMatières[Coût net ACA],MATCH($B13,tblMatières[Matière],0))</f>
        <v>136.91850641542578</v>
      </c>
      <c r="J13" s="310">
        <f t="shared" si="3"/>
        <v>14822.117849797236</v>
      </c>
      <c r="K13" s="577">
        <f t="shared" si="4"/>
        <v>3.7636808721823773E-3</v>
      </c>
      <c r="L13" s="310">
        <f t="shared" si="5"/>
        <v>23621.557891781147</v>
      </c>
    </row>
    <row r="14" spans="1:12">
      <c r="A14" s="38"/>
      <c r="B14" s="37" t="str">
        <f>INDEX(ListeMatières,5)</f>
        <v>Papier à usage général</v>
      </c>
      <c r="C14" s="58">
        <f>INDEX(tblMatières[Quantité générée (tonnes)],MATCH($B14,tblMatières[Matière],0))</f>
        <v>4563.4139999999998</v>
      </c>
      <c r="D14" s="26">
        <f>INDEX(tblMatières[Quantité récupérée (tonnes)],MATCH($B14,tblMatières[Matière],0))</f>
        <v>2592.2165645758855</v>
      </c>
      <c r="E14" s="26">
        <f t="shared" si="0"/>
        <v>1971.1974354241142</v>
      </c>
      <c r="F14" s="48">
        <f>INDEX(tblMatières[Quantité déclarée (tonnes)],MATCH($B14,tblMatières[Matière],0))</f>
        <v>4563.4139999999998</v>
      </c>
      <c r="G14" s="199">
        <f t="shared" si="1"/>
        <v>4563.4139999999998</v>
      </c>
      <c r="H14" s="206">
        <f t="shared" si="2"/>
        <v>1971.1974354241142</v>
      </c>
      <c r="I14" s="213">
        <f>INDEX(tblMatières[Coût net ACA],MATCH($B14,tblMatières[Matière],0))</f>
        <v>140.6341037332013</v>
      </c>
      <c r="J14" s="310">
        <f t="shared" si="3"/>
        <v>277217.58461205527</v>
      </c>
      <c r="K14" s="577">
        <f t="shared" si="4"/>
        <v>7.039200006436766E-2</v>
      </c>
      <c r="L14" s="310">
        <f t="shared" si="5"/>
        <v>441793.2234712991</v>
      </c>
    </row>
    <row r="15" spans="1:12">
      <c r="A15" s="38"/>
      <c r="B15" s="37" t="str">
        <f>INDEX(ListeMatières,6)</f>
        <v>Autres imprimés</v>
      </c>
      <c r="C15" s="58">
        <f>INDEX(tblMatières[Quantité générée (tonnes)],MATCH($B15,tblMatières[Matière],0))</f>
        <v>23867.183000000001</v>
      </c>
      <c r="D15" s="26">
        <f>INDEX(tblMatières[Quantité récupérée (tonnes)],MATCH($B15,tblMatières[Matière],0))</f>
        <v>14881.538945703809</v>
      </c>
      <c r="E15" s="26">
        <f t="shared" si="0"/>
        <v>8985.6440542961918</v>
      </c>
      <c r="F15" s="48">
        <f>INDEX(tblMatières[Quantité déclarée (tonnes)],MATCH($B15,tblMatières[Matière],0))</f>
        <v>23867.183000000001</v>
      </c>
      <c r="G15" s="200">
        <f t="shared" si="1"/>
        <v>23867.183000000001</v>
      </c>
      <c r="H15" s="207">
        <f t="shared" si="2"/>
        <v>8985.6440542961918</v>
      </c>
      <c r="I15" s="214">
        <f>INDEX(tblMatières[Coût net ACA],MATCH($B15,tblMatières[Matière],0))</f>
        <v>149.16824374748973</v>
      </c>
      <c r="J15" s="311">
        <f t="shared" si="3"/>
        <v>1340372.7425194362</v>
      </c>
      <c r="K15" s="578">
        <f t="shared" si="4"/>
        <v>0.34035185145178476</v>
      </c>
      <c r="L15" s="311">
        <f t="shared" si="5"/>
        <v>2136111.2261309847</v>
      </c>
    </row>
    <row r="16" spans="1:12" ht="15.75" thickBot="1">
      <c r="A16" s="55" t="str">
        <f>'Sommaire exécutif'!A15</f>
        <v>IMPRIMÉS TOTAL</v>
      </c>
      <c r="B16" s="50"/>
      <c r="C16" s="59">
        <f>SUBTOTAL(9,C10:C15)</f>
        <v>140337.019</v>
      </c>
      <c r="D16" s="21">
        <f t="shared" ref="D16:H16" si="6">SUBTOTAL(9,D10:D15)</f>
        <v>112449.42539441548</v>
      </c>
      <c r="E16" s="21">
        <f t="shared" si="6"/>
        <v>27887.593605584509</v>
      </c>
      <c r="F16" s="28">
        <f t="shared" si="6"/>
        <v>140337.019</v>
      </c>
      <c r="G16" s="59">
        <f t="shared" si="6"/>
        <v>140337.019</v>
      </c>
      <c r="H16" s="21">
        <f t="shared" si="6"/>
        <v>27887.593605584509</v>
      </c>
      <c r="I16" s="215"/>
      <c r="J16" s="312">
        <f>SUBTOTAL(9,J10:J15)</f>
        <v>3938197.3002409749</v>
      </c>
      <c r="K16" s="571">
        <f>SUBTOTAL(9,K10:K15)</f>
        <v>1</v>
      </c>
      <c r="L16" s="312">
        <f>SUBTOTAL(9,L10:L15)</f>
        <v>6276185.1214245334</v>
      </c>
    </row>
    <row r="17" spans="1:12">
      <c r="A17" s="38"/>
      <c r="B17" s="39"/>
      <c r="C17" s="38"/>
      <c r="D17" s="35"/>
      <c r="E17" s="35"/>
      <c r="F17" s="39"/>
      <c r="G17" s="201"/>
      <c r="H17" s="208"/>
      <c r="I17" s="193"/>
      <c r="J17" s="313"/>
      <c r="K17" s="572"/>
      <c r="L17" s="316"/>
    </row>
    <row r="18" spans="1:12">
      <c r="A18" s="43" t="str">
        <f>'Sommaire exécutif'!A17</f>
        <v>CONTENANTS ET EMBALLAGES</v>
      </c>
      <c r="B18" s="45"/>
      <c r="C18" s="34"/>
      <c r="D18" s="11"/>
      <c r="E18" s="11"/>
      <c r="F18" s="45"/>
      <c r="G18" s="202"/>
      <c r="H18" s="209"/>
      <c r="I18" s="194"/>
      <c r="J18" s="314"/>
      <c r="K18" s="573"/>
      <c r="L18" s="318"/>
    </row>
    <row r="19" spans="1:12">
      <c r="A19" s="46" t="str">
        <f>'Sommaire exécutif'!A18</f>
        <v>Papier et carton</v>
      </c>
      <c r="B19" s="37" t="str">
        <f>INDEX(ListeMatières,7)</f>
        <v>Carton ondulé</v>
      </c>
      <c r="C19" s="58">
        <f>INDEX(tblMatières[Quantité générée (tonnes)],MATCH($B19,tblMatières[Matière],0))</f>
        <v>57058.644</v>
      </c>
      <c r="D19" s="26">
        <f>INDEX(tblMatières[Quantité récupérée (tonnes)],MATCH($B19,tblMatières[Matière],0))</f>
        <v>44212.244562092688</v>
      </c>
      <c r="E19" s="26">
        <f t="shared" ref="E19:E25" si="7">C19-D19</f>
        <v>12846.399437907312</v>
      </c>
      <c r="F19" s="48">
        <f>INDEX(tblMatières[Quantité déclarée (tonnes)],MATCH($B19,tblMatières[Matière],0))</f>
        <v>57058.644</v>
      </c>
      <c r="G19" s="198">
        <f t="shared" ref="G19:G25" si="8">ObjectifRecup*C19</f>
        <v>57058.644</v>
      </c>
      <c r="H19" s="206">
        <f t="shared" ref="H19:H25" si="9">G19-D19</f>
        <v>12846.399437907312</v>
      </c>
      <c r="I19" s="213">
        <f>INDEX(tblMatières[Coût net ACA],MATCH($B19,tblMatières[Matière],0))</f>
        <v>189.58985490400516</v>
      </c>
      <c r="J19" s="310">
        <f t="shared" ref="J19:J25" si="10">MAX(0,I19*H19)</f>
        <v>2435547.0054717408</v>
      </c>
      <c r="K19" s="577">
        <f t="shared" ref="K19:K25" si="11">$J19/$J$48</f>
        <v>3.8508282000639271E-2</v>
      </c>
      <c r="L19" s="310">
        <f t="shared" ref="L19:L25" si="12">K19*$L$54</f>
        <v>855499.08383015543</v>
      </c>
    </row>
    <row r="20" spans="1:12">
      <c r="A20" s="46"/>
      <c r="B20" s="37" t="str">
        <f>INDEX(ListeMatières,8)</f>
        <v>Sacs de papier kraft</v>
      </c>
      <c r="C20" s="58">
        <f>INDEX(tblMatières[Quantité générée (tonnes)],MATCH($B20,tblMatières[Matière],0))</f>
        <v>3143.279</v>
      </c>
      <c r="D20" s="26">
        <f>INDEX(tblMatières[Quantité récupérée (tonnes)],MATCH($B20,tblMatières[Matière],0))</f>
        <v>1296.6666443451525</v>
      </c>
      <c r="E20" s="26">
        <f t="shared" si="7"/>
        <v>1846.6123556548475</v>
      </c>
      <c r="F20" s="48">
        <f>INDEX(tblMatières[Quantité déclarée (tonnes)],MATCH($B20,tblMatières[Matière],0))</f>
        <v>3143.279</v>
      </c>
      <c r="G20" s="199">
        <f t="shared" si="8"/>
        <v>3143.279</v>
      </c>
      <c r="H20" s="206">
        <f t="shared" si="9"/>
        <v>1846.6123556548475</v>
      </c>
      <c r="I20" s="213">
        <f>INDEX(tblMatières[Coût net ACA],MATCH($B20,tblMatières[Matière],0))</f>
        <v>189.58985490400516</v>
      </c>
      <c r="J20" s="310">
        <f t="shared" si="10"/>
        <v>350098.96857254574</v>
      </c>
      <c r="K20" s="577">
        <f t="shared" si="11"/>
        <v>5.5353929854920891E-3</v>
      </c>
      <c r="L20" s="310">
        <f t="shared" si="12"/>
        <v>122974.15988720913</v>
      </c>
    </row>
    <row r="21" spans="1:12">
      <c r="A21" s="46"/>
      <c r="B21" s="37" t="str">
        <f>INDEX(ListeMatières,9)</f>
        <v>Emballages de papier kraft</v>
      </c>
      <c r="C21" s="58">
        <f>INDEX(tblMatières[Quantité générée (tonnes)],MATCH($B21,tblMatières[Matière],0))</f>
        <v>1981.269</v>
      </c>
      <c r="D21" s="26">
        <f>INDEX(tblMatières[Quantité récupérée (tonnes)],MATCH($B21,tblMatières[Matière],0))</f>
        <v>459.17324899062658</v>
      </c>
      <c r="E21" s="26">
        <f t="shared" si="7"/>
        <v>1522.0957510093735</v>
      </c>
      <c r="F21" s="48">
        <f>INDEX(tblMatières[Quantité déclarée (tonnes)],MATCH($B21,tblMatières[Matière],0))</f>
        <v>1981.269</v>
      </c>
      <c r="G21" s="199">
        <f t="shared" si="8"/>
        <v>1981.269</v>
      </c>
      <c r="H21" s="206">
        <f t="shared" si="9"/>
        <v>1522.0957510093735</v>
      </c>
      <c r="I21" s="213">
        <f>INDEX(tblMatières[Coût net ACA],MATCH($B21,tblMatières[Matière],0))</f>
        <v>189.58985490400516</v>
      </c>
      <c r="J21" s="310">
        <f t="shared" si="10"/>
        <v>288573.91258386988</v>
      </c>
      <c r="K21" s="577">
        <f t="shared" si="11"/>
        <v>4.5626241574652391E-3</v>
      </c>
      <c r="L21" s="310">
        <f t="shared" si="12"/>
        <v>101363.1505687023</v>
      </c>
    </row>
    <row r="22" spans="1:12">
      <c r="A22" s="46"/>
      <c r="B22" s="37" t="str">
        <f>INDEX(ListeMatières,10)</f>
        <v>Carton plat et autres emballages de papier</v>
      </c>
      <c r="C22" s="58">
        <f>INDEX(tblMatières[Quantité générée (tonnes)],MATCH($B22,tblMatières[Matière],0))</f>
        <v>89357.737999999998</v>
      </c>
      <c r="D22" s="26">
        <f>INDEX(tblMatières[Quantité récupérée (tonnes)],MATCH($B22,tblMatières[Matière],0))</f>
        <v>55290.317194879237</v>
      </c>
      <c r="E22" s="26">
        <f t="shared" si="7"/>
        <v>34067.420805120761</v>
      </c>
      <c r="F22" s="48">
        <f>INDEX(tblMatières[Quantité déclarée (tonnes)],MATCH($B22,tblMatières[Matière],0))</f>
        <v>89357.737999999998</v>
      </c>
      <c r="G22" s="199">
        <f t="shared" si="8"/>
        <v>89357.737999999998</v>
      </c>
      <c r="H22" s="206">
        <f t="shared" si="9"/>
        <v>34067.420805120761</v>
      </c>
      <c r="I22" s="213">
        <f>INDEX(tblMatières[Coût net ACA],MATCH($B22,tblMatières[Matière],0))</f>
        <v>183.21087432183018</v>
      </c>
      <c r="J22" s="310">
        <f t="shared" si="10"/>
        <v>6241521.951595882</v>
      </c>
      <c r="K22" s="577">
        <f t="shared" si="11"/>
        <v>9.8684314811112089E-2</v>
      </c>
      <c r="L22" s="310">
        <f t="shared" si="12"/>
        <v>2192368.4081235179</v>
      </c>
    </row>
    <row r="23" spans="1:12">
      <c r="A23" s="46"/>
      <c r="B23" s="37" t="str">
        <f>INDEX(ListeMatières,11)</f>
        <v>Contenants à pignon</v>
      </c>
      <c r="C23" s="58">
        <f>INDEX(tblMatières[Quantité générée (tonnes)],MATCH($B23,tblMatières[Matière],0))</f>
        <v>10642.311</v>
      </c>
      <c r="D23" s="26">
        <f>INDEX(tblMatières[Quantité récupérée (tonnes)],MATCH($B23,tblMatières[Matière],0))</f>
        <v>8288.6371859637784</v>
      </c>
      <c r="E23" s="26">
        <f t="shared" si="7"/>
        <v>2353.6738140362213</v>
      </c>
      <c r="F23" s="48">
        <f>INDEX(tblMatières[Quantité déclarée (tonnes)],MATCH($B23,tblMatières[Matière],0))</f>
        <v>10642.311</v>
      </c>
      <c r="G23" s="199">
        <f t="shared" si="8"/>
        <v>10642.311</v>
      </c>
      <c r="H23" s="206">
        <f t="shared" si="9"/>
        <v>2353.6738140362213</v>
      </c>
      <c r="I23" s="213">
        <f>INDEX(tblMatières[Coût net ACA],MATCH($B23,tblMatières[Matière],0))</f>
        <v>214.52796325511571</v>
      </c>
      <c r="J23" s="310">
        <f t="shared" si="10"/>
        <v>504928.84949209052</v>
      </c>
      <c r="K23" s="577">
        <f t="shared" si="11"/>
        <v>7.9833985888248821E-3</v>
      </c>
      <c r="L23" s="310">
        <f t="shared" si="12"/>
        <v>177358.99457880936</v>
      </c>
    </row>
    <row r="24" spans="1:12">
      <c r="A24" s="46"/>
      <c r="B24" s="37" t="str">
        <f>INDEX(ListeMatières,12)</f>
        <v>Laminés de papier</v>
      </c>
      <c r="C24" s="58">
        <f>INDEX(tblMatières[Quantité générée (tonnes)],MATCH($B24,tblMatières[Matière],0))</f>
        <v>13221.805</v>
      </c>
      <c r="D24" s="26">
        <f>INDEX(tblMatières[Quantité récupérée (tonnes)],MATCH($B24,tblMatières[Matière],0))</f>
        <v>4420.5794650618791</v>
      </c>
      <c r="E24" s="26">
        <f t="shared" si="7"/>
        <v>8801.2255349381212</v>
      </c>
      <c r="F24" s="48">
        <f>INDEX(tblMatières[Quantité déclarée (tonnes)],MATCH($B24,tblMatières[Matière],0))</f>
        <v>13221.805</v>
      </c>
      <c r="G24" s="199">
        <f t="shared" si="8"/>
        <v>13221.805</v>
      </c>
      <c r="H24" s="206">
        <f t="shared" si="9"/>
        <v>8801.2255349381212</v>
      </c>
      <c r="I24" s="213">
        <f>INDEX(tblMatières[Coût net ACA],MATCH($B24,tblMatières[Matière],0))</f>
        <v>264.23775213574299</v>
      </c>
      <c r="J24" s="310">
        <f t="shared" si="10"/>
        <v>2325616.0513917515</v>
      </c>
      <c r="K24" s="577">
        <f t="shared" si="11"/>
        <v>3.6770170532948003E-2</v>
      </c>
      <c r="L24" s="310">
        <f t="shared" si="12"/>
        <v>816885.24049692438</v>
      </c>
    </row>
    <row r="25" spans="1:12">
      <c r="A25" s="46"/>
      <c r="B25" s="37" t="str">
        <f>INDEX(ListeMatières,13)</f>
        <v>Contenants aseptiques</v>
      </c>
      <c r="C25" s="58">
        <f>INDEX(tblMatières[Quantité générée (tonnes)],MATCH($B25,tblMatières[Matière],0))</f>
        <v>5960.89</v>
      </c>
      <c r="D25" s="26">
        <f>INDEX(tblMatières[Quantité récupérée (tonnes)],MATCH($B25,tblMatières[Matière],0))</f>
        <v>3275.4908245800875</v>
      </c>
      <c r="E25" s="26">
        <f t="shared" si="7"/>
        <v>2685.3991754199128</v>
      </c>
      <c r="F25" s="48">
        <f>INDEX(tblMatières[Quantité déclarée (tonnes)],MATCH($B25,tblMatières[Matière],0))</f>
        <v>5960.89</v>
      </c>
      <c r="G25" s="200">
        <f t="shared" si="8"/>
        <v>5960.89</v>
      </c>
      <c r="H25" s="206">
        <f t="shared" si="9"/>
        <v>2685.3991754199128</v>
      </c>
      <c r="I25" s="213">
        <f>INDEX(tblMatières[Coût net ACA],MATCH($B25,tblMatières[Matière],0))</f>
        <v>224.52450204177239</v>
      </c>
      <c r="J25" s="310">
        <f t="shared" si="10"/>
        <v>602937.91264454217</v>
      </c>
      <c r="K25" s="577">
        <f t="shared" si="11"/>
        <v>9.5330137816394649E-3</v>
      </c>
      <c r="L25" s="310">
        <f t="shared" si="12"/>
        <v>211785.20911936346</v>
      </c>
    </row>
    <row r="26" spans="1:12">
      <c r="A26" s="43" t="str">
        <f>'Sommaire exécutif'!A25</f>
        <v>Papier et carton TOTAL</v>
      </c>
      <c r="B26" s="51"/>
      <c r="C26" s="60">
        <f>SUBTOTAL(9,C19:C25)</f>
        <v>181365.93599999999</v>
      </c>
      <c r="D26" s="22">
        <f t="shared" ref="D26:H26" si="13">SUBTOTAL(9,D19:D25)</f>
        <v>117243.10912591344</v>
      </c>
      <c r="E26" s="22">
        <f t="shared" si="13"/>
        <v>64122.826874086553</v>
      </c>
      <c r="F26" s="29">
        <f t="shared" si="13"/>
        <v>181365.93599999999</v>
      </c>
      <c r="G26" s="60">
        <f t="shared" si="13"/>
        <v>181365.93599999999</v>
      </c>
      <c r="H26" s="22">
        <f t="shared" si="13"/>
        <v>64122.826874086553</v>
      </c>
      <c r="I26" s="216"/>
      <c r="J26" s="315">
        <f>SUBTOTAL(9,J19:J25)</f>
        <v>12749224.651752423</v>
      </c>
      <c r="K26" s="574">
        <f t="shared" ref="K26:L26" si="14">SUBTOTAL(9,K19:K25)</f>
        <v>0.20157719685812103</v>
      </c>
      <c r="L26" s="315">
        <f t="shared" si="14"/>
        <v>4478234.2466046819</v>
      </c>
    </row>
    <row r="27" spans="1:12">
      <c r="A27" s="46" t="str">
        <f>'Sommaire exécutif'!A26</f>
        <v>Plastique</v>
      </c>
      <c r="B27" s="37" t="str">
        <f>INDEX(ListeMatières,14)</f>
        <v>Bouteilles PET</v>
      </c>
      <c r="C27" s="58">
        <f>INDEX(tblMatières[Quantité générée (tonnes)],MATCH($B27,tblMatières[Matière],0))</f>
        <v>28454.071</v>
      </c>
      <c r="D27" s="26">
        <f>INDEX(tblMatières[Quantité récupérée (tonnes)],MATCH($B27,tblMatières[Matière],0))</f>
        <v>19296.023522834832</v>
      </c>
      <c r="E27" s="26">
        <f t="shared" ref="E27:E36" si="15">C27-D27</f>
        <v>9158.0474771651679</v>
      </c>
      <c r="F27" s="48">
        <f>INDEX(tblMatières[Quantité déclarée (tonnes)],MATCH($B27,tblMatières[Matière],0))</f>
        <v>28454.071</v>
      </c>
      <c r="G27" s="199">
        <f t="shared" ref="G27:G43" si="16">ObjectifRecup*C27</f>
        <v>28454.071</v>
      </c>
      <c r="H27" s="206">
        <f t="shared" ref="H27:H43" si="17">G27-D27</f>
        <v>9158.0474771651679</v>
      </c>
      <c r="I27" s="213">
        <f>INDEX(tblMatières[Coût net ACA],MATCH($B27,tblMatières[Matière],0))</f>
        <v>291.78108775449766</v>
      </c>
      <c r="J27" s="310">
        <f t="shared" ref="J27:J36" si="18">MAX(0,I27*H27)</f>
        <v>2672145.0545945857</v>
      </c>
      <c r="K27" s="579">
        <f t="shared" ref="K27:K37" si="19">$J27/$J$48</f>
        <v>4.2249119018341955E-2</v>
      </c>
      <c r="L27" s="319">
        <f t="shared" ref="L27:L37" si="20">K27*$L$54</f>
        <v>938605.4307024841</v>
      </c>
    </row>
    <row r="28" spans="1:12">
      <c r="A28" s="38"/>
      <c r="B28" s="37" t="str">
        <f>INDEX(ListeMatières,15)</f>
        <v>Bouteilles HDPE</v>
      </c>
      <c r="C28" s="58">
        <f>INDEX(tblMatières[Quantité générée (tonnes)],MATCH($B28,tblMatières[Matière],0))</f>
        <v>19105.120999999999</v>
      </c>
      <c r="D28" s="26">
        <f>INDEX(tblMatières[Quantité récupérée (tonnes)],MATCH($B28,tblMatières[Matière],0))</f>
        <v>12997.599355643866</v>
      </c>
      <c r="E28" s="26">
        <f t="shared" si="15"/>
        <v>6107.521644356133</v>
      </c>
      <c r="F28" s="48">
        <f>INDEX(tblMatières[Quantité déclarée (tonnes)],MATCH($B28,tblMatières[Matière],0))</f>
        <v>19105.120999999999</v>
      </c>
      <c r="G28" s="199">
        <f t="shared" si="16"/>
        <v>19105.120999999999</v>
      </c>
      <c r="H28" s="206">
        <f t="shared" si="17"/>
        <v>6107.521644356133</v>
      </c>
      <c r="I28" s="213">
        <f>INDEX(tblMatières[Coût net ACA],MATCH($B28,tblMatières[Matière],0))</f>
        <v>11.681916552419466</v>
      </c>
      <c r="J28" s="310">
        <f t="shared" si="18"/>
        <v>71347.558191464064</v>
      </c>
      <c r="K28" s="579">
        <f t="shared" si="19"/>
        <v>1.1280717985411089E-3</v>
      </c>
      <c r="L28" s="319">
        <f t="shared" si="20"/>
        <v>25061.216445089227</v>
      </c>
    </row>
    <row r="29" spans="1:12">
      <c r="A29" s="38"/>
      <c r="B29" s="37" t="str">
        <f>INDEX(ListeMatières,16)</f>
        <v>Plastiques stratifiés</v>
      </c>
      <c r="C29" s="58">
        <f>INDEX(tblMatières[Quantité générée (tonnes)],MATCH($B29,tblMatières[Matière],0))</f>
        <v>18345.511999999999</v>
      </c>
      <c r="D29" s="26">
        <f>INDEX(tblMatières[Quantité récupérée (tonnes)],MATCH($B29,tblMatières[Matière],0))</f>
        <v>2963.9007205395051</v>
      </c>
      <c r="E29" s="26">
        <f t="shared" si="15"/>
        <v>15381.611279460494</v>
      </c>
      <c r="F29" s="48">
        <f>INDEX(tblMatières[Quantité déclarée (tonnes)],MATCH($B29,tblMatières[Matière],0))</f>
        <v>18345.511999999999</v>
      </c>
      <c r="G29" s="199">
        <f t="shared" si="16"/>
        <v>18345.511999999999</v>
      </c>
      <c r="H29" s="206">
        <f t="shared" si="17"/>
        <v>15381.611279460494</v>
      </c>
      <c r="I29" s="213">
        <f>INDEX(tblMatières[Coût net ACA],MATCH($B29,tblMatières[Matière],0))</f>
        <v>662.98615524918216</v>
      </c>
      <c r="J29" s="310">
        <f t="shared" si="18"/>
        <v>10197795.323706966</v>
      </c>
      <c r="K29" s="579">
        <f t="shared" si="19"/>
        <v>0.16123670667322898</v>
      </c>
      <c r="L29" s="319">
        <f t="shared" si="20"/>
        <v>3582030.8690075818</v>
      </c>
    </row>
    <row r="30" spans="1:12">
      <c r="A30" s="38"/>
      <c r="B30" s="37" t="str">
        <f>INDEX(ListeMatières,17)</f>
        <v>Pellicules HDPE et LDPE</v>
      </c>
      <c r="C30" s="58">
        <f>INDEX(tblMatières[Quantité générée (tonnes)],MATCH($B30,tblMatières[Matière],0))</f>
        <v>20600.752</v>
      </c>
      <c r="D30" s="26">
        <f>INDEX(tblMatières[Quantité récupérée (tonnes)],MATCH($B30,tblMatières[Matière],0))</f>
        <v>7167.664015781269</v>
      </c>
      <c r="E30" s="26">
        <f t="shared" si="15"/>
        <v>13433.087984218731</v>
      </c>
      <c r="F30" s="48">
        <f>INDEX(tblMatières[Quantité déclarée (tonnes)],MATCH($B30,tblMatières[Matière],0))</f>
        <v>20600.752</v>
      </c>
      <c r="G30" s="199">
        <f t="shared" si="16"/>
        <v>20600.752</v>
      </c>
      <c r="H30" s="206">
        <f t="shared" si="17"/>
        <v>13433.087984218731</v>
      </c>
      <c r="I30" s="213">
        <f>INDEX(tblMatières[Coût net ACA],MATCH($B30,tblMatières[Matière],0))</f>
        <v>617.01263704162488</v>
      </c>
      <c r="J30" s="310">
        <f t="shared" si="18"/>
        <v>8288385.0407549646</v>
      </c>
      <c r="K30" s="579">
        <f t="shared" si="19"/>
        <v>0.13104713962088033</v>
      </c>
      <c r="L30" s="319">
        <f t="shared" si="20"/>
        <v>2911340.1600820427</v>
      </c>
    </row>
    <row r="31" spans="1:12">
      <c r="A31" s="38"/>
      <c r="B31" s="37" t="str">
        <f>INDEX(ListeMatières,18)</f>
        <v>Sacs d'emplettes de pellicules HDPE et LDPE</v>
      </c>
      <c r="C31" s="58">
        <f>INDEX(tblMatières[Quantité générée (tonnes)],MATCH($B31,tblMatières[Matière],0))</f>
        <v>8808.5460000000003</v>
      </c>
      <c r="D31" s="26">
        <f>INDEX(tblMatières[Quantité récupérée (tonnes)],MATCH($B31,tblMatières[Matière],0))</f>
        <v>1388.0863033855567</v>
      </c>
      <c r="E31" s="26">
        <f t="shared" si="15"/>
        <v>7420.4596966144436</v>
      </c>
      <c r="F31" s="48">
        <f>INDEX(tblMatières[Quantité déclarée (tonnes)],MATCH($B31,tblMatières[Matière],0))</f>
        <v>8808.5460000000003</v>
      </c>
      <c r="G31" s="199">
        <f t="shared" si="16"/>
        <v>8808.5460000000003</v>
      </c>
      <c r="H31" s="206">
        <f t="shared" si="17"/>
        <v>7420.4596966144436</v>
      </c>
      <c r="I31" s="213">
        <f>INDEX(tblMatières[Coût net ACA],MATCH($B31,tblMatières[Matière],0))</f>
        <v>617.01263704162488</v>
      </c>
      <c r="J31" s="310">
        <f t="shared" si="18"/>
        <v>4578517.4054691736</v>
      </c>
      <c r="K31" s="579">
        <f t="shared" si="19"/>
        <v>7.2390653515838246E-2</v>
      </c>
      <c r="L31" s="319">
        <f t="shared" si="20"/>
        <v>1608229.0495233661</v>
      </c>
    </row>
    <row r="32" spans="1:12">
      <c r="A32" s="38"/>
      <c r="B32" s="37" t="str">
        <f>INDEX(ListeMatières,19)</f>
        <v>Polystyrène expansé alimentaire</v>
      </c>
      <c r="C32" s="58">
        <f>INDEX(tblMatières[Quantité générée (tonnes)],MATCH($B32,tblMatières[Matière],0))</f>
        <v>3577.489</v>
      </c>
      <c r="D32" s="26">
        <f>INDEX(tblMatières[Quantité récupérée (tonnes)],MATCH($B32,tblMatières[Matière],0))</f>
        <v>412.94510310858072</v>
      </c>
      <c r="E32" s="26">
        <f t="shared" si="15"/>
        <v>3164.5438968914195</v>
      </c>
      <c r="F32" s="48">
        <f>INDEX(tblMatières[Quantité déclarée (tonnes)],MATCH($B32,tblMatières[Matière],0))</f>
        <v>3577.489</v>
      </c>
      <c r="G32" s="199">
        <f t="shared" si="16"/>
        <v>3577.489</v>
      </c>
      <c r="H32" s="206">
        <f t="shared" si="17"/>
        <v>3164.5438968914195</v>
      </c>
      <c r="I32" s="213">
        <f>INDEX(tblMatières[Coût net ACA],MATCH($B32,tblMatières[Matière],0))</f>
        <v>2351.7130183301038</v>
      </c>
      <c r="J32" s="310">
        <f t="shared" si="18"/>
        <v>7442099.0793966288</v>
      </c>
      <c r="K32" s="579">
        <f t="shared" si="19"/>
        <v>0.11766656499844279</v>
      </c>
      <c r="L32" s="319">
        <f t="shared" si="20"/>
        <v>2614077.6301559787</v>
      </c>
    </row>
    <row r="33" spans="1:12">
      <c r="A33" s="250"/>
      <c r="B33" s="37" t="str">
        <f>INDEX(ListeMatières,20)</f>
        <v>Polystyrène expansé de protection</v>
      </c>
      <c r="C33" s="58">
        <f>INDEX(tblMatières[Quantité générée (tonnes)],MATCH($B33,tblMatières[Matière],0))</f>
        <v>1653.914</v>
      </c>
      <c r="D33" s="26">
        <f>INDEX(tblMatières[Quantité récupérée (tonnes)],MATCH($B33,tblMatières[Matière],0))</f>
        <v>620.3989827377784</v>
      </c>
      <c r="E33" s="26">
        <f>C33-D33</f>
        <v>1033.5150172622216</v>
      </c>
      <c r="F33" s="48">
        <f>INDEX(tblMatières[Quantité déclarée (tonnes)],MATCH($B33,tblMatières[Matière],0))</f>
        <v>1653.914</v>
      </c>
      <c r="G33" s="199">
        <f>ObjectifRecup*C33</f>
        <v>1653.914</v>
      </c>
      <c r="H33" s="206">
        <f>G33-D33</f>
        <v>1033.5150172622216</v>
      </c>
      <c r="I33" s="213">
        <f>INDEX(tblMatières[Coût net ACA],MATCH($B33,tblMatières[Matière],0))</f>
        <v>2351.7130183301038</v>
      </c>
      <c r="J33" s="310">
        <f>MAX(0,I33*H33)</f>
        <v>2430530.7207352286</v>
      </c>
      <c r="K33" s="579">
        <f t="shared" si="19"/>
        <v>3.8428969835119516E-2</v>
      </c>
      <c r="L33" s="319">
        <f t="shared" si="20"/>
        <v>853737.08663335477</v>
      </c>
    </row>
    <row r="34" spans="1:12">
      <c r="A34" s="38"/>
      <c r="B34" s="37" t="str">
        <f>INDEX(ListeMatières,21)</f>
        <v>Polystyrène non expansé</v>
      </c>
      <c r="C34" s="58">
        <f>INDEX(tblMatières[Quantité générée (tonnes)],MATCH($B34,tblMatières[Matière],0))</f>
        <v>4424.2470000000003</v>
      </c>
      <c r="D34" s="26">
        <f>INDEX(tblMatières[Quantité récupérée (tonnes)],MATCH($B34,tblMatières[Matière],0))</f>
        <v>1100.7673069345703</v>
      </c>
      <c r="E34" s="26">
        <f t="shared" si="15"/>
        <v>3323.4796930654302</v>
      </c>
      <c r="F34" s="48">
        <f>INDEX(tblMatières[Quantité déclarée (tonnes)],MATCH($B34,tblMatières[Matière],0))</f>
        <v>4424.2470000000003</v>
      </c>
      <c r="G34" s="199">
        <f t="shared" si="16"/>
        <v>4424.2470000000003</v>
      </c>
      <c r="H34" s="206">
        <f t="shared" si="17"/>
        <v>3323.4796930654302</v>
      </c>
      <c r="I34" s="213">
        <f>INDEX(tblMatières[Coût net ACA],MATCH($B34,tblMatières[Matière],0))</f>
        <v>438.22931756692185</v>
      </c>
      <c r="J34" s="310">
        <f t="shared" si="18"/>
        <v>1456446.2378395863</v>
      </c>
      <c r="K34" s="579">
        <f t="shared" si="19"/>
        <v>2.3027780748839943E-2</v>
      </c>
      <c r="L34" s="319">
        <f t="shared" si="20"/>
        <v>511584.6334808502</v>
      </c>
    </row>
    <row r="35" spans="1:12">
      <c r="A35" s="38"/>
      <c r="B35" s="37" t="str">
        <f>INDEX(ListeMatières,22)</f>
        <v>Contenants de PET</v>
      </c>
      <c r="C35" s="58">
        <f>INDEX(tblMatières[Quantité générée (tonnes)],MATCH($B35,tblMatières[Matière],0))</f>
        <v>7889.152</v>
      </c>
      <c r="D35" s="26">
        <f>INDEX(tblMatières[Quantité récupérée (tonnes)],MATCH($B35,tblMatières[Matière],0))</f>
        <v>4517.3086635484415</v>
      </c>
      <c r="E35" s="26">
        <f t="shared" si="15"/>
        <v>3371.8433364515586</v>
      </c>
      <c r="F35" s="48">
        <f>INDEX(tblMatières[Quantité déclarée (tonnes)],MATCH($B35,tblMatières[Matière],0))</f>
        <v>7889.152</v>
      </c>
      <c r="G35" s="199">
        <f t="shared" si="16"/>
        <v>7889.152</v>
      </c>
      <c r="H35" s="206">
        <f t="shared" si="17"/>
        <v>3371.8433364515586</v>
      </c>
      <c r="I35" s="213">
        <f>INDEX(tblMatières[Coût net ACA],MATCH($B35,tblMatières[Matière],0))</f>
        <v>390.62426095491492</v>
      </c>
      <c r="J35" s="310">
        <f t="shared" si="18"/>
        <v>1317123.8113571445</v>
      </c>
      <c r="K35" s="579">
        <f t="shared" si="19"/>
        <v>2.0824962541699635E-2</v>
      </c>
      <c r="L35" s="319">
        <f t="shared" si="20"/>
        <v>462646.87619472574</v>
      </c>
    </row>
    <row r="36" spans="1:12">
      <c r="A36" s="38"/>
      <c r="B36" s="37" t="str">
        <f>INDEX(ListeMatières,23)</f>
        <v>PVC, acide polylactique (PLA) et autres plastiques dégradables</v>
      </c>
      <c r="C36" s="58">
        <f>INDEX(tblMatières[Quantité générée (tonnes)],MATCH($B36,tblMatières[Matière],0))</f>
        <v>491.197</v>
      </c>
      <c r="D36" s="26">
        <f>INDEX(tblMatières[Quantité récupérée (tonnes)],MATCH($B36,tblMatières[Matière],0))</f>
        <v>268.19356200000004</v>
      </c>
      <c r="E36" s="26">
        <f t="shared" si="15"/>
        <v>223.00343799999996</v>
      </c>
      <c r="F36" s="48">
        <f>INDEX(tblMatières[Quantité déclarée (tonnes)],MATCH($B36,tblMatières[Matière],0))</f>
        <v>491.197</v>
      </c>
      <c r="G36" s="199">
        <f t="shared" si="16"/>
        <v>491.197</v>
      </c>
      <c r="H36" s="206">
        <f t="shared" si="17"/>
        <v>223.00343799999996</v>
      </c>
      <c r="I36" s="213">
        <f>INDEX(tblMatières[Coût net ACA],MATCH($B36,tblMatières[Matière],0))</f>
        <v>270.04724250469019</v>
      </c>
      <c r="J36" s="310">
        <f t="shared" si="18"/>
        <v>60221.463500965634</v>
      </c>
      <c r="K36" s="579">
        <f t="shared" si="19"/>
        <v>9.5215780840050672E-4</v>
      </c>
      <c r="L36" s="319">
        <f t="shared" si="20"/>
        <v>21153.11539306894</v>
      </c>
    </row>
    <row r="37" spans="1:12">
      <c r="A37" s="250"/>
      <c r="B37" s="37" t="str">
        <f>INDEX(ListeMatières,24)</f>
        <v>Autres plastiques, polymères et polyuréthanne</v>
      </c>
      <c r="C37" s="58">
        <f>INDEX(tblMatières[Quantité générée (tonnes)],MATCH($B37,tblMatières[Matière],0))</f>
        <v>33909.735999999997</v>
      </c>
      <c r="D37" s="26">
        <f>INDEX(tblMatières[Quantité récupérée (tonnes)],MATCH($B37,tblMatières[Matière],0))</f>
        <v>14808.56401630154</v>
      </c>
      <c r="E37" s="26">
        <f t="shared" ref="E37" si="21">C37-D37</f>
        <v>19101.171983698456</v>
      </c>
      <c r="F37" s="48">
        <f>INDEX(tblMatières[Quantité déclarée (tonnes)],MATCH($B37,tblMatières[Matière],0))</f>
        <v>33909.735999999997</v>
      </c>
      <c r="G37" s="199">
        <f t="shared" ref="G37" si="22">ObjectifRecup*C37</f>
        <v>33909.735999999997</v>
      </c>
      <c r="H37" s="206">
        <f t="shared" ref="H37" si="23">G37-D37</f>
        <v>19101.171983698456</v>
      </c>
      <c r="I37" s="213">
        <f>INDEX(tblMatières[Coût net ACA],MATCH($B37,tblMatières[Matière],0))</f>
        <v>265.42817547497322</v>
      </c>
      <c r="J37" s="310">
        <f t="shared" ref="J37" si="24">MAX(0,I37*H37)</f>
        <v>5069989.2290667556</v>
      </c>
      <c r="K37" s="579">
        <f t="shared" si="19"/>
        <v>8.0161283906442601E-2</v>
      </c>
      <c r="L37" s="319">
        <f t="shared" si="20"/>
        <v>1780861.1908334985</v>
      </c>
    </row>
    <row r="38" spans="1:12">
      <c r="A38" s="43" t="str">
        <f>'Sommaire exécutif'!A37</f>
        <v>Plastique TOTAL</v>
      </c>
      <c r="B38" s="51"/>
      <c r="C38" s="61">
        <f t="shared" ref="C38:H38" si="25">SUBTOTAL(9,C27:C36)</f>
        <v>113350.00100000002</v>
      </c>
      <c r="D38" s="24">
        <f t="shared" si="25"/>
        <v>50732.887536514405</v>
      </c>
      <c r="E38" s="24">
        <f t="shared" si="25"/>
        <v>62617.113463485606</v>
      </c>
      <c r="F38" s="30">
        <f t="shared" si="25"/>
        <v>113350.00100000002</v>
      </c>
      <c r="G38" s="60">
        <f t="shared" si="25"/>
        <v>113350.00100000002</v>
      </c>
      <c r="H38" s="22">
        <f t="shared" si="25"/>
        <v>62617.113463485606</v>
      </c>
      <c r="I38" s="216"/>
      <c r="J38" s="315">
        <f>SUBTOTAL(9,J27:J36)</f>
        <v>38514611.695546716</v>
      </c>
      <c r="K38" s="574">
        <f>SUBTOTAL(9,K27:K36)</f>
        <v>0.60895212655933306</v>
      </c>
      <c r="L38" s="315">
        <f>SUBTOTAL(9,L27:L37)</f>
        <v>15309327.258452039</v>
      </c>
    </row>
    <row r="39" spans="1:12">
      <c r="A39" s="46" t="str">
        <f>'Sommaire exécutif'!A38</f>
        <v>Aluminium</v>
      </c>
      <c r="B39" s="37" t="str">
        <f>INDEX(ListeMatières,25)</f>
        <v>Contenants pour aliments et breuvages en aluminium</v>
      </c>
      <c r="C39" s="58">
        <f>INDEX(tblMatières[Quantité générée (tonnes)],MATCH($B39,tblMatières[Matière],0))</f>
        <v>2854.9569999999999</v>
      </c>
      <c r="D39" s="26">
        <f>INDEX(tblMatières[Quantité récupérée (tonnes)],MATCH($B39,tblMatières[Matière],0))</f>
        <v>1376.4950426958128</v>
      </c>
      <c r="E39" s="26">
        <f>C39-D39</f>
        <v>1478.4619573041871</v>
      </c>
      <c r="F39" s="48">
        <f>INDEX(tblMatières[Quantité déclarée (tonnes)],MATCH($B39,tblMatières[Matière],0))</f>
        <v>2854.9569999999999</v>
      </c>
      <c r="G39" s="199">
        <f t="shared" si="16"/>
        <v>2854.9569999999999</v>
      </c>
      <c r="H39" s="206">
        <f t="shared" si="17"/>
        <v>1478.4619573041871</v>
      </c>
      <c r="I39" s="213">
        <f>INDEX(tblMatières[Coût net ACA],MATCH($B39,tblMatières[Matière],0))</f>
        <v>-183.01145752758737</v>
      </c>
      <c r="J39" s="310">
        <f>MAX(0,I39*H39)</f>
        <v>0</v>
      </c>
      <c r="K39" s="577">
        <f>$J39/$J$48</f>
        <v>0</v>
      </c>
      <c r="L39" s="310">
        <f>K39*$L$54</f>
        <v>0</v>
      </c>
    </row>
    <row r="40" spans="1:12">
      <c r="A40" s="46"/>
      <c r="B40" s="37" t="str">
        <f>INDEX(ListeMatières,26)</f>
        <v>Autres contenants et emballages en aluminium</v>
      </c>
      <c r="C40" s="58">
        <f>INDEX(tblMatières[Quantité générée (tonnes)],MATCH($B40,tblMatières[Matière],0))</f>
        <v>4823.9380000000001</v>
      </c>
      <c r="D40" s="26">
        <f>INDEX(tblMatières[Quantité récupérée (tonnes)],MATCH($B40,tblMatières[Matière],0))</f>
        <v>483.96942592726941</v>
      </c>
      <c r="E40" s="26">
        <f>C40-D40</f>
        <v>4339.9685740727309</v>
      </c>
      <c r="F40" s="48">
        <f>INDEX(tblMatières[Quantité déclarée (tonnes)],MATCH($B40,tblMatières[Matière],0))</f>
        <v>4823.9380000000001</v>
      </c>
      <c r="G40" s="199">
        <f t="shared" si="16"/>
        <v>4823.9380000000001</v>
      </c>
      <c r="H40" s="206">
        <f t="shared" si="17"/>
        <v>4339.9685740727309</v>
      </c>
      <c r="I40" s="213">
        <f>INDEX(tblMatières[Coût net ACA],MATCH($B40,tblMatières[Matière],0))</f>
        <v>-12.515239094909077</v>
      </c>
      <c r="J40" s="310">
        <f>MAX(0,I40*H40)</f>
        <v>0</v>
      </c>
      <c r="K40" s="577">
        <f>$J40/$J$48</f>
        <v>0</v>
      </c>
      <c r="L40" s="310">
        <f>K40*$L$54</f>
        <v>0</v>
      </c>
    </row>
    <row r="41" spans="1:12">
      <c r="A41" s="43" t="str">
        <f>'Sommaire exécutif'!A40</f>
        <v>Aluminium TOTAL</v>
      </c>
      <c r="B41" s="51"/>
      <c r="C41" s="60">
        <f>SUBTOTAL(9,C39:C40)</f>
        <v>7678.8950000000004</v>
      </c>
      <c r="D41" s="22">
        <f t="shared" ref="D41:H41" si="26">SUBTOTAL(9,D39:D40)</f>
        <v>1860.4644686230822</v>
      </c>
      <c r="E41" s="22">
        <f t="shared" si="26"/>
        <v>5818.4305313769182</v>
      </c>
      <c r="F41" s="29">
        <f t="shared" si="26"/>
        <v>7678.8950000000004</v>
      </c>
      <c r="G41" s="60">
        <f t="shared" si="26"/>
        <v>7678.8950000000004</v>
      </c>
      <c r="H41" s="22">
        <f t="shared" si="26"/>
        <v>5818.4305313769182</v>
      </c>
      <c r="I41" s="216"/>
      <c r="J41" s="315">
        <f t="shared" ref="J41:L41" si="27">SUBTOTAL(9,J39:J40)</f>
        <v>0</v>
      </c>
      <c r="K41" s="574">
        <f t="shared" si="27"/>
        <v>0</v>
      </c>
      <c r="L41" s="315">
        <f t="shared" si="27"/>
        <v>0</v>
      </c>
    </row>
    <row r="42" spans="1:12">
      <c r="A42" s="46" t="str">
        <f>'Sommaire exécutif'!A41</f>
        <v>Acier</v>
      </c>
      <c r="B42" s="37" t="str">
        <f>INDEX(ListeMatières,27)</f>
        <v>Bombes aérosol en acier</v>
      </c>
      <c r="C42" s="58">
        <f>INDEX(tblMatières[Quantité générée (tonnes)],MATCH($B42,tblMatières[Matière],0))</f>
        <v>2430.7779999999998</v>
      </c>
      <c r="D42" s="26">
        <f>INDEX(tblMatières[Quantité récupérée (tonnes)],MATCH($B42,tblMatières[Matière],0))</f>
        <v>426.11538339999998</v>
      </c>
      <c r="E42" s="26">
        <f>C42-D42</f>
        <v>2004.6626165999999</v>
      </c>
      <c r="F42" s="48">
        <f>INDEX(tblMatières[Quantité déclarée (tonnes)],MATCH($B42,tblMatières[Matière],0))</f>
        <v>2430.7779999999998</v>
      </c>
      <c r="G42" s="198">
        <f t="shared" si="16"/>
        <v>2430.7779999999998</v>
      </c>
      <c r="H42" s="206">
        <f t="shared" si="17"/>
        <v>2004.6626165999999</v>
      </c>
      <c r="I42" s="213">
        <f>INDEX(tblMatières[Coût net ACA],MATCH($B42,tblMatières[Matière],0))</f>
        <v>52.890354432941081</v>
      </c>
      <c r="J42" s="310">
        <f>MAX(0,I42*H42)</f>
        <v>106027.31631044106</v>
      </c>
      <c r="K42" s="577">
        <f>$J42/$J$48</f>
        <v>1.6763912940627569E-3</v>
      </c>
      <c r="L42" s="310">
        <f>K42*$L$54</f>
        <v>37242.669412977943</v>
      </c>
    </row>
    <row r="43" spans="1:12">
      <c r="A43" s="46"/>
      <c r="B43" s="37" t="str">
        <f>INDEX(ListeMatières,28)</f>
        <v>Autres contenants en acier</v>
      </c>
      <c r="C43" s="58">
        <f>INDEX(tblMatières[Quantité générée (tonnes)],MATCH($B43,tblMatières[Matière],0))</f>
        <v>23510.151000000002</v>
      </c>
      <c r="D43" s="26">
        <f>INDEX(tblMatières[Quantité récupérée (tonnes)],MATCH($B43,tblMatières[Matière],0))</f>
        <v>15248.302927500676</v>
      </c>
      <c r="E43" s="26">
        <f>C43-D43</f>
        <v>8261.848072499326</v>
      </c>
      <c r="F43" s="48">
        <f>INDEX(tblMatières[Quantité déclarée (tonnes)],MATCH($B43,tblMatières[Matière],0))</f>
        <v>23510.151000000002</v>
      </c>
      <c r="G43" s="199">
        <f t="shared" si="16"/>
        <v>23510.151000000002</v>
      </c>
      <c r="H43" s="206">
        <f t="shared" si="17"/>
        <v>8261.848072499326</v>
      </c>
      <c r="I43" s="213">
        <f>INDEX(tblMatières[Coût net ACA],MATCH($B43,tblMatières[Matière],0))</f>
        <v>103.98867177055706</v>
      </c>
      <c r="J43" s="310">
        <f>MAX(0,I43*H43)</f>
        <v>859138.60742934188</v>
      </c>
      <c r="K43" s="577">
        <f>$J43/$J$48</f>
        <v>1.3583787008913667E-2</v>
      </c>
      <c r="L43" s="310">
        <f>K43*$L$54</f>
        <v>301777.09150661906</v>
      </c>
    </row>
    <row r="44" spans="1:12">
      <c r="A44" s="43" t="str">
        <f>'Sommaire exécutif'!A43</f>
        <v>Acier TOTAL</v>
      </c>
      <c r="B44" s="51"/>
      <c r="C44" s="60">
        <f t="shared" ref="C44:F44" si="28">SUBTOTAL(9,C42:C43)</f>
        <v>25940.929</v>
      </c>
      <c r="D44" s="22">
        <f t="shared" si="28"/>
        <v>15674.418310900675</v>
      </c>
      <c r="E44" s="22">
        <f t="shared" si="28"/>
        <v>10266.510689099327</v>
      </c>
      <c r="F44" s="29">
        <f t="shared" si="28"/>
        <v>25940.929</v>
      </c>
      <c r="G44" s="60">
        <f t="shared" ref="G44" si="29">SUBTOTAL(9,G42:G43)</f>
        <v>25940.929</v>
      </c>
      <c r="H44" s="22">
        <f t="shared" ref="H44" si="30">SUBTOTAL(9,H42:H43)</f>
        <v>10266.510689099327</v>
      </c>
      <c r="I44" s="216"/>
      <c r="J44" s="315">
        <f t="shared" ref="J44" si="31">SUBTOTAL(9,J42:J43)</f>
        <v>965165.923739783</v>
      </c>
      <c r="K44" s="574">
        <f t="shared" ref="K44" si="32">SUBTOTAL(9,K42:K43)</f>
        <v>1.5260178302976424E-2</v>
      </c>
      <c r="L44" s="315">
        <f t="shared" ref="L44" si="33">SUBTOTAL(9,L42:L43)</f>
        <v>339019.760919597</v>
      </c>
    </row>
    <row r="45" spans="1:12">
      <c r="A45" s="46" t="str">
        <f>'Sommaire exécutif'!A44</f>
        <v>Verre</v>
      </c>
      <c r="B45" s="37" t="str">
        <f>INDEX(ListeMatières,29)</f>
        <v>Verre clair</v>
      </c>
      <c r="C45" s="58">
        <f>INDEX(tblMatières[Quantité générée (tonnes)],MATCH($B45,tblMatières[Matière],0))</f>
        <v>56442.516000000003</v>
      </c>
      <c r="D45" s="26">
        <f>INDEX(tblMatières[Quantité récupérée (tonnes)],MATCH($B45,tblMatières[Matière],0))</f>
        <v>44498.909088249253</v>
      </c>
      <c r="E45" s="26">
        <f>C45-D45</f>
        <v>11943.60691175075</v>
      </c>
      <c r="F45" s="48">
        <f>INDEX(tblMatières[Quantité déclarée (tonnes)],MATCH($B45,tblMatières[Matière],0))</f>
        <v>56442.516000000003</v>
      </c>
      <c r="G45" s="198">
        <f>ObjectifRecup*C45</f>
        <v>56442.516000000003</v>
      </c>
      <c r="H45" s="206">
        <f>G45-D45</f>
        <v>11943.60691175075</v>
      </c>
      <c r="I45" s="213">
        <f>INDEX(tblMatières[Coût net ACA],MATCH($B45,tblMatières[Matière],0))</f>
        <v>201.19440995998201</v>
      </c>
      <c r="J45" s="310">
        <f>MAX(0,I45*H45)</f>
        <v>2402986.9454036551</v>
      </c>
      <c r="K45" s="577">
        <f>$J45/$J$48</f>
        <v>3.7993476918970669E-2</v>
      </c>
      <c r="L45" s="310">
        <f>K45*$L$54</f>
        <v>844062.18628922419</v>
      </c>
    </row>
    <row r="46" spans="1:12">
      <c r="A46" s="46"/>
      <c r="B46" s="233" t="str">
        <f>INDEX(ListeMatières,30)</f>
        <v>Verre coloré</v>
      </c>
      <c r="C46" s="58">
        <f>INDEX(tblMatières[Quantité générée (tonnes)],MATCH($B46,tblMatières[Matière],0))</f>
        <v>83245.164999999994</v>
      </c>
      <c r="D46" s="26">
        <f>INDEX(tblMatières[Quantité récupérée (tonnes)],MATCH($B46,tblMatières[Matière],0))</f>
        <v>65629.941609465241</v>
      </c>
      <c r="E46" s="26">
        <f>C46-D46</f>
        <v>17615.223390534753</v>
      </c>
      <c r="F46" s="48">
        <f>INDEX(tblMatières[Quantité déclarée (tonnes)],MATCH($B46,tblMatières[Matière],0))</f>
        <v>83245.164999999994</v>
      </c>
      <c r="G46" s="200">
        <f>ObjectifRecup*C46</f>
        <v>83245.164999999994</v>
      </c>
      <c r="H46" s="206">
        <f>G46-D46</f>
        <v>17615.223390534753</v>
      </c>
      <c r="I46" s="213">
        <f>INDEX(tblMatières[Coût net ACA],MATCH($B46,tblMatières[Matière],0))</f>
        <v>201.26779444797467</v>
      </c>
      <c r="J46" s="310">
        <f>MAX(0,I46*H46)</f>
        <v>3545377.1605213042</v>
      </c>
      <c r="K46" s="577">
        <f>$J46/$J$48</f>
        <v>5.6055737454156145E-2</v>
      </c>
      <c r="L46" s="310">
        <f>K46*$L$54</f>
        <v>1245332.939928564</v>
      </c>
    </row>
    <row r="47" spans="1:12">
      <c r="A47" s="43" t="str">
        <f>'Sommaire exécutif'!A46</f>
        <v>Verre TOTAL</v>
      </c>
      <c r="B47" s="51"/>
      <c r="C47" s="60">
        <f t="shared" ref="C47" si="34">SUBTOTAL(9,C45:C46)</f>
        <v>139687.68099999998</v>
      </c>
      <c r="D47" s="22">
        <f t="shared" ref="D47" si="35">SUBTOTAL(9,D45:D46)</f>
        <v>110128.85069771449</v>
      </c>
      <c r="E47" s="22">
        <f t="shared" ref="E47" si="36">SUBTOTAL(9,E45:E46)</f>
        <v>29558.830302285503</v>
      </c>
      <c r="F47" s="29">
        <f t="shared" ref="F47" si="37">SUBTOTAL(9,F45:F46)</f>
        <v>139687.68099999998</v>
      </c>
      <c r="G47" s="60">
        <f t="shared" ref="G47" si="38">SUBTOTAL(9,G45:G46)</f>
        <v>139687.68099999998</v>
      </c>
      <c r="H47" s="22">
        <f t="shared" ref="H47" si="39">SUBTOTAL(9,H45:H46)</f>
        <v>29558.830302285503</v>
      </c>
      <c r="I47" s="216"/>
      <c r="J47" s="315">
        <f t="shared" ref="J47" si="40">SUBTOTAL(9,J45:J46)</f>
        <v>5948364.1059249593</v>
      </c>
      <c r="K47" s="574">
        <f t="shared" ref="K47" si="41">SUBTOTAL(9,K45:K46)</f>
        <v>9.4049214373126813E-2</v>
      </c>
      <c r="L47" s="315">
        <f t="shared" ref="L47" si="42">SUBTOTAL(9,L45:L46)</f>
        <v>2089395.1262177881</v>
      </c>
    </row>
    <row r="48" spans="1:12" ht="15.75" thickBot="1">
      <c r="A48" s="56" t="str">
        <f>'Sommaire exécutif'!A47</f>
        <v>CONTENANTS ET EMBALLAGES TOTAL</v>
      </c>
      <c r="B48" s="52"/>
      <c r="C48" s="138">
        <f t="shared" ref="C48:H48" si="43">SUBTOTAL(9,C19:C47)</f>
        <v>501933.17799999984</v>
      </c>
      <c r="D48" s="27">
        <f t="shared" si="43"/>
        <v>310448.29415596765</v>
      </c>
      <c r="E48" s="27">
        <f t="shared" si="43"/>
        <v>191484.88384403236</v>
      </c>
      <c r="F48" s="139">
        <f t="shared" si="43"/>
        <v>501933.17799999984</v>
      </c>
      <c r="G48" s="59">
        <f t="shared" si="43"/>
        <v>501933.17799999984</v>
      </c>
      <c r="H48" s="21">
        <f t="shared" si="43"/>
        <v>191484.88384403236</v>
      </c>
      <c r="I48" s="215"/>
      <c r="J48" s="312">
        <f>SUBTOTAL(9,J19:J47)</f>
        <v>63247355.606030636</v>
      </c>
      <c r="K48" s="580">
        <f>SUBTOTAL(9,K19:K47)</f>
        <v>1</v>
      </c>
      <c r="L48" s="312">
        <f>SUBTOTAL(9,L19:L47)</f>
        <v>22215976.392194111</v>
      </c>
    </row>
    <row r="49" spans="1:12">
      <c r="A49" s="38"/>
      <c r="B49" s="39"/>
      <c r="C49" s="38"/>
      <c r="D49" s="35"/>
      <c r="E49" s="35"/>
      <c r="F49" s="39"/>
      <c r="G49" s="203"/>
      <c r="H49" s="177"/>
      <c r="I49" s="217"/>
      <c r="J49" s="316"/>
      <c r="K49" s="65"/>
      <c r="L49" s="316"/>
    </row>
    <row r="50" spans="1:12" ht="15.75" thickBot="1">
      <c r="A50" s="57" t="str">
        <f>'Sommaire exécutif'!A49</f>
        <v>TOTAL</v>
      </c>
      <c r="B50" s="53"/>
      <c r="C50" s="62">
        <f>SUBTOTAL(9,C10:C48)</f>
        <v>642270.19699999993</v>
      </c>
      <c r="D50" s="25">
        <f t="shared" ref="D50:H50" si="44">SUBTOTAL(9,D10:D48)</f>
        <v>422897.71955038316</v>
      </c>
      <c r="E50" s="25">
        <f t="shared" si="44"/>
        <v>219372.47744961688</v>
      </c>
      <c r="F50" s="31">
        <f t="shared" si="44"/>
        <v>642270.19699999993</v>
      </c>
      <c r="G50" s="204">
        <f t="shared" si="44"/>
        <v>642270.19699999993</v>
      </c>
      <c r="H50" s="210">
        <f t="shared" si="44"/>
        <v>219372.47744961688</v>
      </c>
      <c r="I50" s="218"/>
      <c r="J50" s="317">
        <f>SUBTOTAL(9,J10:J48)</f>
        <v>67185552.906271607</v>
      </c>
      <c r="K50" s="80"/>
      <c r="L50" s="317">
        <f>SUBTOTAL(9,L10:L48)</f>
        <v>28492161.513618637</v>
      </c>
    </row>
    <row r="51" spans="1:12" ht="15.75" thickTop="1">
      <c r="A51" s="38"/>
      <c r="B51" s="35"/>
      <c r="G51" s="37"/>
      <c r="H51" s="37"/>
      <c r="I51" s="125"/>
      <c r="J51" s="125"/>
      <c r="K51" s="37"/>
      <c r="L51" s="320"/>
    </row>
    <row r="52" spans="1:12">
      <c r="A52" s="42" t="str">
        <f>'Facteur 1'!$A$52</f>
        <v>Allocation des coûts du facteur par catégorie</v>
      </c>
      <c r="B52" s="87"/>
      <c r="C52" s="86"/>
      <c r="D52" s="86"/>
      <c r="E52" s="86"/>
      <c r="F52" s="86"/>
      <c r="G52" s="86"/>
      <c r="H52" s="86"/>
      <c r="I52" s="126"/>
      <c r="J52" s="126"/>
      <c r="K52" s="86"/>
      <c r="L52" s="321"/>
    </row>
    <row r="53" spans="1:12">
      <c r="A53" s="90" t="str">
        <f>'Facteur 1'!$A$53</f>
        <v>Imprimés</v>
      </c>
      <c r="B53" s="88"/>
      <c r="C53" s="85"/>
      <c r="D53" s="85"/>
      <c r="E53" s="85"/>
      <c r="F53" s="85"/>
      <c r="G53" s="85"/>
      <c r="H53" s="85"/>
      <c r="I53" s="127"/>
      <c r="J53" s="127"/>
      <c r="K53" s="85"/>
      <c r="L53" s="322">
        <f>'Coûts nets'!$G51*$G$8</f>
        <v>6276185.1214245334</v>
      </c>
    </row>
    <row r="54" spans="1:12">
      <c r="A54" s="91" t="str">
        <f>'Facteur 1'!$A$54</f>
        <v>Contenants et emballages</v>
      </c>
      <c r="B54" s="49"/>
      <c r="C54" s="54"/>
      <c r="D54" s="54"/>
      <c r="E54" s="54"/>
      <c r="F54" s="54"/>
      <c r="G54" s="54"/>
      <c r="H54" s="54"/>
      <c r="I54" s="128"/>
      <c r="J54" s="128"/>
      <c r="K54" s="54"/>
      <c r="L54" s="323">
        <f>'Coûts nets'!$G52*$G$8</f>
        <v>22215976.392194111</v>
      </c>
    </row>
  </sheetData>
  <mergeCells count="2">
    <mergeCell ref="C6:F6"/>
    <mergeCell ref="G6:L6"/>
  </mergeCells>
  <pageMargins left="0.7" right="0.7" top="0.75" bottom="0.75" header="0.3" footer="0.3"/>
  <pageSetup scale="43" fitToHeight="0" orientation="landscape" r:id="rId1"/>
  <colBreaks count="1" manualBreakCount="1">
    <brk id="7" max="50" man="1"/>
  </colBreaks>
  <ignoredErrors>
    <ignoredError sqref="I17:L18 J19:L25 J49:L49 K50" evalError="1"/>
    <ignoredError sqref="J45:L46" evalError="1" formula="1"/>
    <ignoredError sqref="C34:L35 I26 C45:I46 C27:L32 C39:L40 I38 C42:L43 I41 I44 I47 C36:L36"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C000"/>
    <pageSetUpPr fitToPage="1"/>
  </sheetPr>
  <dimension ref="A1:I51"/>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G26" sqref="G26"/>
    </sheetView>
  </sheetViews>
  <sheetFormatPr baseColWidth="10" defaultColWidth="13.42578125" defaultRowHeight="15"/>
  <cols>
    <col min="1" max="1" width="26.5703125" customWidth="1"/>
    <col min="2" max="2" width="74.7109375" customWidth="1"/>
    <col min="3" max="3" width="16.5703125" bestFit="1" customWidth="1"/>
    <col min="4" max="4" width="19" customWidth="1"/>
    <col min="5" max="5" width="17.42578125" customWidth="1"/>
    <col min="6" max="6" width="17.42578125" bestFit="1" customWidth="1"/>
    <col min="7" max="7" width="22" bestFit="1" customWidth="1"/>
  </cols>
  <sheetData>
    <row r="1" spans="1:9" s="149" customFormat="1" ht="15.75" thickBot="1">
      <c r="A1" s="4" t="s">
        <v>113</v>
      </c>
      <c r="B1" s="36"/>
    </row>
    <row r="2" spans="1:9" ht="6.75" customHeight="1" thickBot="1"/>
    <row r="3" spans="1:9" ht="18.75" thickBot="1">
      <c r="A3" s="83" t="str">
        <f>Paramètres!B4</f>
        <v>Tarif</v>
      </c>
      <c r="B3" s="236">
        <f>AnnéeTarif</f>
        <v>2019</v>
      </c>
    </row>
    <row r="4" spans="1:9" ht="18.75" thickBot="1">
      <c r="A4" s="83" t="str">
        <f>Paramètres!B5</f>
        <v>Version</v>
      </c>
      <c r="B4" s="236" t="str">
        <f>Paramètres!C5</f>
        <v>Projet de Tarif</v>
      </c>
    </row>
    <row r="5" spans="1:9" ht="18.75" thickBot="1">
      <c r="A5" s="83" t="str">
        <f>Paramètres!B6</f>
        <v>Année civile de référence</v>
      </c>
      <c r="B5" s="84">
        <f>AnnéeRéf</f>
        <v>2018</v>
      </c>
    </row>
    <row r="6" spans="1:9" ht="15" customHeight="1" thickBot="1">
      <c r="C6" s="625" t="s">
        <v>113</v>
      </c>
      <c r="D6" s="626"/>
      <c r="E6" s="626"/>
      <c r="F6" s="626"/>
      <c r="G6" s="626"/>
    </row>
    <row r="7" spans="1:9" ht="45">
      <c r="A7" s="42" t="str">
        <f>'Sommaire exécutif'!A7</f>
        <v>CATÉGORIE</v>
      </c>
      <c r="B7" s="9" t="str">
        <f>'Sommaire exécutif'!B7</f>
        <v>Matière</v>
      </c>
      <c r="C7" s="242" t="s">
        <v>90</v>
      </c>
      <c r="D7" s="241" t="s">
        <v>184</v>
      </c>
      <c r="E7" s="241" t="s">
        <v>185</v>
      </c>
      <c r="F7" s="241" t="s">
        <v>111</v>
      </c>
      <c r="G7" s="241" t="s">
        <v>112</v>
      </c>
    </row>
    <row r="8" spans="1:9">
      <c r="A8" s="69"/>
      <c r="B8" s="71"/>
      <c r="C8" s="69"/>
      <c r="D8" s="70"/>
      <c r="E8" s="70"/>
      <c r="F8" s="70"/>
      <c r="G8" s="70"/>
    </row>
    <row r="9" spans="1:9">
      <c r="A9" s="43" t="str">
        <f>'Sommaire exécutif'!A8</f>
        <v>IMPRIMÉS</v>
      </c>
      <c r="B9" s="11"/>
      <c r="C9" s="100"/>
      <c r="D9" s="101"/>
      <c r="E9" s="11"/>
      <c r="F9" s="101"/>
      <c r="G9" s="101"/>
    </row>
    <row r="10" spans="1:9">
      <c r="A10" s="38"/>
      <c r="B10" s="37" t="str">
        <f>INDEX(ListeMatières,1)</f>
        <v>Encarts et circulaires imprimés sur du papier journal</v>
      </c>
      <c r="C10" s="95">
        <f>INDEX(tblMatières[Frais d''étude],MATCH($B10,tblMatières[Matière],0))</f>
        <v>0</v>
      </c>
      <c r="D10" s="48">
        <f>INDEX(tblMatières[Quantité déclarée (tonnes)],MATCH($B10,tblMatières[Matière],0))</f>
        <v>92875.491999999998</v>
      </c>
      <c r="E10" s="135">
        <f>INDEX(tblMatières[Nombre déclarations],MATCH($B10,tblMatières[Matière],0))</f>
        <v>111</v>
      </c>
      <c r="F10" s="287">
        <f t="shared" ref="F10:F15" si="0">D10/$D$16 * $E$16/$E$50 * FraisGestionImputés</f>
        <v>848827.04866475263</v>
      </c>
      <c r="G10" s="287">
        <f t="shared" ref="G10:G15" si="1">C10+F10</f>
        <v>848827.04866475263</v>
      </c>
      <c r="I10" s="427"/>
    </row>
    <row r="11" spans="1:9">
      <c r="A11" s="38"/>
      <c r="B11" s="37" t="str">
        <f>INDEX(ListeMatières,2)</f>
        <v>Catalogues et publications</v>
      </c>
      <c r="C11" s="95">
        <f>INDEX(tblMatières[Frais d''étude],MATCH($B11,tblMatières[Matière],0))</f>
        <v>0</v>
      </c>
      <c r="D11" s="48">
        <f>INDEX(tblMatières[Quantité déclarée (tonnes)],MATCH($B11,tblMatières[Matière],0))</f>
        <v>11747.308000000001</v>
      </c>
      <c r="E11" s="135">
        <f>INDEX(tblMatières[Nombre déclarations],MATCH($B11,tblMatières[Matière],0))</f>
        <v>165</v>
      </c>
      <c r="F11" s="287">
        <f t="shared" si="0"/>
        <v>107363.44502375112</v>
      </c>
      <c r="G11" s="287">
        <f t="shared" si="1"/>
        <v>107363.44502375112</v>
      </c>
      <c r="I11" s="427"/>
    </row>
    <row r="12" spans="1:9">
      <c r="A12" s="38"/>
      <c r="B12" s="37" t="str">
        <f>INDEX(ListeMatières,3)</f>
        <v>Magazines</v>
      </c>
      <c r="C12" s="95">
        <f>INDEX(tblMatières[Frais d''étude],MATCH($B12,tblMatières[Matière],0))</f>
        <v>0</v>
      </c>
      <c r="D12" s="48">
        <f>INDEX(tblMatières[Quantité déclarée (tonnes)],MATCH($B12,tblMatières[Matière],0))</f>
        <v>6696.5619999999999</v>
      </c>
      <c r="E12" s="135">
        <f>INDEX(tblMatières[Nombre déclarations],MATCH($B12,tblMatières[Matière],0))</f>
        <v>60</v>
      </c>
      <c r="F12" s="287">
        <f t="shared" si="0"/>
        <v>61202.614772264489</v>
      </c>
      <c r="G12" s="287">
        <f t="shared" si="1"/>
        <v>61202.614772264489</v>
      </c>
      <c r="I12" s="427"/>
    </row>
    <row r="13" spans="1:9">
      <c r="A13" s="38"/>
      <c r="B13" s="37" t="str">
        <f>INDEX(ListeMatières,4)</f>
        <v>Annuaires téléphoniques</v>
      </c>
      <c r="C13" s="95">
        <f>INDEX(tblMatières[Frais d''étude],MATCH($B13,tblMatières[Matière],0))</f>
        <v>0</v>
      </c>
      <c r="D13" s="48">
        <f>INDEX(tblMatières[Quantité déclarée (tonnes)],MATCH($B13,tblMatières[Matière],0))</f>
        <v>587.05999999999995</v>
      </c>
      <c r="E13" s="135">
        <f>INDEX(tblMatières[Nombre déclarations],MATCH($B13,tblMatières[Matière],0))</f>
        <v>2</v>
      </c>
      <c r="F13" s="287">
        <f t="shared" si="0"/>
        <v>5365.3810758723048</v>
      </c>
      <c r="G13" s="287">
        <f t="shared" si="1"/>
        <v>5365.3810758723048</v>
      </c>
      <c r="I13" s="427"/>
    </row>
    <row r="14" spans="1:9">
      <c r="A14" s="38"/>
      <c r="B14" s="37" t="str">
        <f>INDEX(ListeMatières,5)</f>
        <v>Papier à usage général</v>
      </c>
      <c r="C14" s="95">
        <f>INDEX(tblMatières[Frais d''étude],MATCH($B14,tblMatières[Matière],0))</f>
        <v>0</v>
      </c>
      <c r="D14" s="48">
        <f>INDEX(tblMatières[Quantité déclarée (tonnes)],MATCH($B14,tblMatières[Matière],0))</f>
        <v>4563.4139999999998</v>
      </c>
      <c r="E14" s="135">
        <f>INDEX(tblMatières[Nombre déclarations],MATCH($B14,tblMatières[Matière],0))</f>
        <v>94</v>
      </c>
      <c r="F14" s="287">
        <f t="shared" si="0"/>
        <v>41706.904093228521</v>
      </c>
      <c r="G14" s="287">
        <f t="shared" si="1"/>
        <v>41706.904093228521</v>
      </c>
      <c r="I14" s="427"/>
    </row>
    <row r="15" spans="1:9">
      <c r="A15" s="38"/>
      <c r="B15" s="37" t="str">
        <f>INDEX(ListeMatières,6)</f>
        <v>Autres imprimés</v>
      </c>
      <c r="C15" s="95">
        <f>INDEX(tblMatières[Frais d''étude],MATCH($B15,tblMatières[Matière],0))</f>
        <v>0</v>
      </c>
      <c r="D15" s="48">
        <f>INDEX(tblMatières[Quantité déclarée (tonnes)],MATCH($B15,tblMatières[Matière],0))</f>
        <v>23867.183000000001</v>
      </c>
      <c r="E15" s="135">
        <f>INDEX(tblMatières[Nombre déclarations],MATCH($B15,tblMatières[Matière],0))</f>
        <v>591</v>
      </c>
      <c r="F15" s="287">
        <f t="shared" si="0"/>
        <v>218131.93200453307</v>
      </c>
      <c r="G15" s="287">
        <f t="shared" si="1"/>
        <v>218131.93200453307</v>
      </c>
      <c r="I15" s="427"/>
    </row>
    <row r="16" spans="1:9" ht="15.75" thickBot="1">
      <c r="A16" s="55" t="str">
        <f>'Sommaire exécutif'!A15</f>
        <v>IMPRIMÉS TOTAL</v>
      </c>
      <c r="B16" s="20"/>
      <c r="C16" s="98">
        <f>SUBTOTAL(9,C10:C15)</f>
        <v>0</v>
      </c>
      <c r="D16" s="21">
        <f>SUBTOTAL(9,D10:D15)</f>
        <v>140337.019</v>
      </c>
      <c r="E16" s="59">
        <f t="shared" ref="E16:G16" si="2">SUBTOTAL(9,E10:E15)</f>
        <v>1023</v>
      </c>
      <c r="F16" s="289">
        <f t="shared" si="2"/>
        <v>1282597.3256344022</v>
      </c>
      <c r="G16" s="289">
        <f t="shared" si="2"/>
        <v>1282597.3256344022</v>
      </c>
      <c r="I16" s="414"/>
    </row>
    <row r="17" spans="1:9">
      <c r="A17" s="38"/>
      <c r="B17" s="35"/>
      <c r="C17" s="95"/>
      <c r="D17" s="135"/>
      <c r="E17" s="37"/>
      <c r="F17" s="287"/>
      <c r="G17" s="287"/>
    </row>
    <row r="18" spans="1:9">
      <c r="A18" s="43" t="str">
        <f>'Sommaire exécutif'!A17</f>
        <v>CONTENANTS ET EMBALLAGES</v>
      </c>
      <c r="B18" s="11"/>
      <c r="C18" s="100"/>
      <c r="D18" s="209"/>
      <c r="E18" s="11"/>
      <c r="F18" s="294"/>
      <c r="G18" s="294"/>
    </row>
    <row r="19" spans="1:9">
      <c r="A19" s="46" t="str">
        <f>'Sommaire exécutif'!A18</f>
        <v>Papier et carton</v>
      </c>
      <c r="B19" s="37" t="str">
        <f>INDEX(ListeMatières,7)</f>
        <v>Carton ondulé</v>
      </c>
      <c r="C19" s="95">
        <f>INDEX(tblMatières[Frais d''étude],MATCH($B19,tblMatières[Matière],0))</f>
        <v>126787.31715646117</v>
      </c>
      <c r="D19" s="48">
        <f>INDEX(tblMatières[Quantité déclarée (tonnes)],MATCH($B19,tblMatières[Matière],0))</f>
        <v>57058.644</v>
      </c>
      <c r="E19" s="135">
        <f>INDEX(tblMatières[Nombre déclarations],MATCH($B19,tblMatières[Matière],0))</f>
        <v>506</v>
      </c>
      <c r="F19" s="287">
        <f t="shared" ref="F19:F25" si="3">D19/D$26 * $E$26/$E$50 * FraisGestionImputés</f>
        <v>679619.29226824862</v>
      </c>
      <c r="G19" s="287">
        <f t="shared" ref="G19:G25" si="4">C19+F19</f>
        <v>806406.60942470981</v>
      </c>
      <c r="I19" s="414"/>
    </row>
    <row r="20" spans="1:9">
      <c r="A20" s="46"/>
      <c r="B20" s="37" t="str">
        <f>INDEX(ListeMatières,8)</f>
        <v>Sacs de papier kraft</v>
      </c>
      <c r="C20" s="95">
        <f>INDEX(tblMatières[Frais d''étude],MATCH($B20,tblMatières[Matière],0))</f>
        <v>6984.5317649722629</v>
      </c>
      <c r="D20" s="48">
        <f>INDEX(tblMatières[Quantité déclarée (tonnes)],MATCH($B20,tblMatières[Matière],0))</f>
        <v>3143.279</v>
      </c>
      <c r="E20" s="135">
        <f>INDEX(tblMatières[Nombre déclarations],MATCH($B20,tblMatières[Matière],0))</f>
        <v>83</v>
      </c>
      <c r="F20" s="287">
        <f t="shared" si="3"/>
        <v>37439.253715557068</v>
      </c>
      <c r="G20" s="287">
        <f t="shared" si="4"/>
        <v>44423.785480529332</v>
      </c>
      <c r="I20" s="414"/>
    </row>
    <row r="21" spans="1:9">
      <c r="A21" s="46"/>
      <c r="B21" s="37" t="str">
        <f>INDEX(ListeMatières,9)</f>
        <v>Emballages de papier kraft</v>
      </c>
      <c r="C21" s="95">
        <f>INDEX(tblMatières[Frais d''étude],MATCH($B21,tblMatières[Matière],0))</f>
        <v>4402.4842419189736</v>
      </c>
      <c r="D21" s="48">
        <f>INDEX(tblMatières[Quantité déclarée (tonnes)],MATCH($B21,tblMatières[Matière],0))</f>
        <v>1981.269</v>
      </c>
      <c r="E21" s="135">
        <f>INDEX(tblMatières[Nombre déclarations],MATCH($B21,tblMatières[Matière],0))</f>
        <v>50</v>
      </c>
      <c r="F21" s="287">
        <f t="shared" si="3"/>
        <v>23598.679204031218</v>
      </c>
      <c r="G21" s="287">
        <f t="shared" si="4"/>
        <v>28001.163445950191</v>
      </c>
      <c r="I21" s="414"/>
    </row>
    <row r="22" spans="1:9">
      <c r="A22" s="46"/>
      <c r="B22" s="37" t="str">
        <f>INDEX(ListeMatières,10)</f>
        <v>Carton plat et autres emballages de papier</v>
      </c>
      <c r="C22" s="95">
        <f>INDEX(tblMatières[Frais d''étude],MATCH($B22,tblMatières[Matière],0))</f>
        <v>198557.60799695767</v>
      </c>
      <c r="D22" s="48">
        <f>INDEX(tblMatières[Quantité déclarée (tonnes)],MATCH($B22,tblMatières[Matière],0))</f>
        <v>89357.737999999998</v>
      </c>
      <c r="E22" s="135">
        <f>INDEX(tblMatières[Nombre déclarations],MATCH($B22,tblMatières[Matière],0))</f>
        <v>673</v>
      </c>
      <c r="F22" s="287">
        <f t="shared" si="3"/>
        <v>1064330.2819858736</v>
      </c>
      <c r="G22" s="287">
        <f t="shared" si="4"/>
        <v>1262887.8899828312</v>
      </c>
      <c r="I22" s="414"/>
    </row>
    <row r="23" spans="1:9">
      <c r="A23" s="46"/>
      <c r="B23" s="37" t="str">
        <f>INDEX(ListeMatières,11)</f>
        <v>Contenants à pignon</v>
      </c>
      <c r="C23" s="95">
        <f>INDEX(tblMatières[Frais d''étude],MATCH($B23,tblMatières[Matière],0))</f>
        <v>23647.776488251198</v>
      </c>
      <c r="D23" s="48">
        <f>INDEX(tblMatières[Quantité déclarée (tonnes)],MATCH($B23,tblMatières[Matière],0))</f>
        <v>10642.311</v>
      </c>
      <c r="E23" s="135">
        <f>INDEX(tblMatières[Nombre déclarations],MATCH($B23,tblMatières[Matière],0))</f>
        <v>47</v>
      </c>
      <c r="F23" s="287">
        <f t="shared" si="3"/>
        <v>126759.4068642535</v>
      </c>
      <c r="G23" s="287">
        <f t="shared" si="4"/>
        <v>150407.18335250468</v>
      </c>
      <c r="I23" s="414"/>
    </row>
    <row r="24" spans="1:9">
      <c r="A24" s="46"/>
      <c r="B24" s="37" t="str">
        <f>INDEX(ListeMatières,12)</f>
        <v>Laminés de papier</v>
      </c>
      <c r="C24" s="95">
        <f>INDEX(tblMatières[Frais d''étude],MATCH($B24,tblMatières[Matière],0))</f>
        <v>29379.548240155935</v>
      </c>
      <c r="D24" s="48">
        <f>INDEX(tblMatières[Quantité déclarée (tonnes)],MATCH($B24,tblMatières[Matière],0))</f>
        <v>13221.805</v>
      </c>
      <c r="E24" s="135">
        <f>INDEX(tblMatières[Nombre déclarations],MATCH($B24,tblMatières[Matière],0))</f>
        <v>317</v>
      </c>
      <c r="F24" s="287">
        <f t="shared" si="3"/>
        <v>157483.47886796595</v>
      </c>
      <c r="G24" s="287">
        <f t="shared" si="4"/>
        <v>186863.0271081219</v>
      </c>
      <c r="I24" s="414"/>
    </row>
    <row r="25" spans="1:9">
      <c r="A25" s="46"/>
      <c r="B25" s="37" t="str">
        <f>INDEX(ListeMatières,13)</f>
        <v>Contenants aseptiques</v>
      </c>
      <c r="C25" s="95">
        <f>INDEX(tblMatières[Frais d''étude],MATCH($B25,tblMatières[Matière],0))</f>
        <v>13245.412052988464</v>
      </c>
      <c r="D25" s="48">
        <f>INDEX(tblMatières[Quantité déclarée (tonnes)],MATCH($B25,tblMatières[Matière],0))</f>
        <v>5960.89</v>
      </c>
      <c r="E25" s="135">
        <f>INDEX(tblMatières[Nombre déclarations],MATCH($B25,tblMatières[Matière],0))</f>
        <v>47</v>
      </c>
      <c r="F25" s="287">
        <f t="shared" si="3"/>
        <v>70999.511363937796</v>
      </c>
      <c r="G25" s="287">
        <f t="shared" si="4"/>
        <v>84244.923416926264</v>
      </c>
      <c r="I25" s="414"/>
    </row>
    <row r="26" spans="1:9">
      <c r="A26" s="43" t="str">
        <f>'Sommaire exécutif'!A25</f>
        <v>Papier et carton TOTAL</v>
      </c>
      <c r="B26" s="10"/>
      <c r="C26" s="103">
        <f>SUBTOTAL(9,C19:C25)</f>
        <v>403004.67794170562</v>
      </c>
      <c r="D26" s="22">
        <f t="shared" ref="D26:G26" si="5">SUBTOTAL(9,D19:D25)</f>
        <v>181365.93599999999</v>
      </c>
      <c r="E26" s="60">
        <f t="shared" si="5"/>
        <v>1723</v>
      </c>
      <c r="F26" s="290">
        <f t="shared" si="5"/>
        <v>2160229.904269868</v>
      </c>
      <c r="G26" s="290">
        <f t="shared" si="5"/>
        <v>2563234.5822115731</v>
      </c>
      <c r="I26" s="414"/>
    </row>
    <row r="27" spans="1:9">
      <c r="A27" s="46" t="str">
        <f>'Sommaire exécutif'!A26</f>
        <v>Plastique</v>
      </c>
      <c r="B27" s="37" t="str">
        <f>INDEX(ListeMatières,14)</f>
        <v>Bouteilles PET</v>
      </c>
      <c r="C27" s="95">
        <f>INDEX(tblMatières[Frais d''étude],MATCH($B27,tblMatières[Matière],0))</f>
        <v>130295.62774662119</v>
      </c>
      <c r="D27" s="48">
        <f>INDEX(tblMatières[Quantité déclarée (tonnes)],MATCH($B27,tblMatières[Matière],0))</f>
        <v>28454.071</v>
      </c>
      <c r="E27" s="135">
        <f>INDEX(tblMatières[Nombre déclarations],MATCH($B27,tblMatières[Matière],0))</f>
        <v>206</v>
      </c>
      <c r="F27" s="287">
        <f t="shared" ref="F27:F37" si="6">D27/D$38 * $E$38/$E$50 * FraisGestionImputés</f>
        <v>698424.92372899968</v>
      </c>
      <c r="G27" s="287">
        <f t="shared" ref="G27:G36" si="7">C27+F27</f>
        <v>828720.55147562083</v>
      </c>
      <c r="I27" s="414"/>
    </row>
    <row r="28" spans="1:9">
      <c r="A28" s="38"/>
      <c r="B28" s="37" t="str">
        <f>INDEX(ListeMatières,15)</f>
        <v>Bouteilles HDPE</v>
      </c>
      <c r="C28" s="95">
        <f>INDEX(tblMatières[Frais d''étude],MATCH($B28,tblMatières[Matière],0))</f>
        <v>87485.327982423158</v>
      </c>
      <c r="D28" s="48">
        <f>INDEX(tblMatières[Quantité déclarée (tonnes)],MATCH($B28,tblMatières[Matière],0))</f>
        <v>19105.120999999999</v>
      </c>
      <c r="E28" s="135">
        <f>INDEX(tblMatières[Nombre déclarations],MATCH($B28,tblMatières[Matière],0))</f>
        <v>283</v>
      </c>
      <c r="F28" s="287">
        <f t="shared" si="6"/>
        <v>468948.45652343775</v>
      </c>
      <c r="G28" s="287">
        <f t="shared" si="7"/>
        <v>556433.78450586088</v>
      </c>
      <c r="I28" s="414"/>
    </row>
    <row r="29" spans="1:9">
      <c r="A29" s="38"/>
      <c r="B29" s="37" t="str">
        <f>INDEX(ListeMatières,16)</f>
        <v>Plastiques stratifiés</v>
      </c>
      <c r="C29" s="95">
        <f>INDEX(tblMatières[Frais d''étude],MATCH($B29,tblMatières[Matière],0))</f>
        <v>84006.95993108234</v>
      </c>
      <c r="D29" s="48">
        <f>INDEX(tblMatières[Quantité déclarée (tonnes)],MATCH($B29,tblMatières[Matière],0))</f>
        <v>18345.511999999999</v>
      </c>
      <c r="E29" s="135">
        <f>INDEX(tblMatières[Nombre déclarations],MATCH($B29,tblMatières[Matière],0))</f>
        <v>397</v>
      </c>
      <c r="F29" s="287">
        <f t="shared" si="6"/>
        <v>450303.32634544448</v>
      </c>
      <c r="G29" s="287">
        <f t="shared" si="7"/>
        <v>534310.28627652687</v>
      </c>
      <c r="I29" s="414"/>
    </row>
    <row r="30" spans="1:9">
      <c r="A30" s="38"/>
      <c r="B30" s="37" t="str">
        <f>INDEX(ListeMatières,17)</f>
        <v>Pellicules HDPE et LDPE</v>
      </c>
      <c r="C30" s="95">
        <f>INDEX(tblMatières[Frais d''étude],MATCH($B30,tblMatières[Matière],0))</f>
        <v>94334.055534354367</v>
      </c>
      <c r="D30" s="48">
        <f>INDEX(tblMatières[Quantité déclarée (tonnes)],MATCH($B30,tblMatières[Matière],0))</f>
        <v>20600.752</v>
      </c>
      <c r="E30" s="135">
        <f>INDEX(tblMatières[Nombre déclarations],MATCH($B30,tblMatières[Matière],0))</f>
        <v>546</v>
      </c>
      <c r="F30" s="287">
        <f t="shared" si="6"/>
        <v>505659.75759180606</v>
      </c>
      <c r="G30" s="287">
        <f t="shared" si="7"/>
        <v>599993.81312616041</v>
      </c>
      <c r="I30" s="414"/>
    </row>
    <row r="31" spans="1:9">
      <c r="A31" s="38"/>
      <c r="B31" s="37" t="str">
        <f>INDEX(ListeMatières,18)</f>
        <v>Sacs d'emplettes de pellicules HDPE et LDPE</v>
      </c>
      <c r="C31" s="95">
        <f>INDEX(tblMatières[Frais d''étude],MATCH($B31,tblMatières[Matière],0))</f>
        <v>40335.705586908429</v>
      </c>
      <c r="D31" s="48">
        <f>INDEX(tblMatières[Quantité déclarée (tonnes)],MATCH($B31,tblMatières[Matière],0))</f>
        <v>8808.5460000000003</v>
      </c>
      <c r="E31" s="135">
        <f>INDEX(tblMatières[Nombre déclarations],MATCH($B31,tblMatières[Matière],0))</f>
        <v>186</v>
      </c>
      <c r="F31" s="287">
        <f t="shared" si="6"/>
        <v>216211.87591095088</v>
      </c>
      <c r="G31" s="287">
        <f t="shared" si="7"/>
        <v>256547.58149785933</v>
      </c>
      <c r="I31" s="414"/>
    </row>
    <row r="32" spans="1:9">
      <c r="A32" s="38"/>
      <c r="B32" s="37" t="str">
        <f>INDEX(ListeMatières,19)</f>
        <v>Polystyrène expansé alimentaire</v>
      </c>
      <c r="C32" s="95">
        <f>INDEX(tblMatières[Frais d''étude],MATCH($B32,tblMatières[Matière],0))</f>
        <v>16381.8799430012</v>
      </c>
      <c r="D32" s="48">
        <f>INDEX(tblMatières[Quantité déclarée (tonnes)],MATCH($B32,tblMatières[Matière],0))</f>
        <v>3577.489</v>
      </c>
      <c r="E32" s="135">
        <f>INDEX(tblMatières[Nombre déclarations],MATCH($B32,tblMatières[Matière],0))</f>
        <v>89</v>
      </c>
      <c r="F32" s="287">
        <f t="shared" si="6"/>
        <v>87811.950773804405</v>
      </c>
      <c r="G32" s="287">
        <f t="shared" si="7"/>
        <v>104193.83071680561</v>
      </c>
      <c r="I32" s="414"/>
    </row>
    <row r="33" spans="1:9">
      <c r="A33" s="250"/>
      <c r="B33" s="37" t="str">
        <f>INDEX(ListeMatières,20)</f>
        <v>Polystyrène expansé de protection</v>
      </c>
      <c r="C33" s="95">
        <f>INDEX(tblMatières[Frais d''étude],MATCH($B33,tblMatières[Matière],0))</f>
        <v>7573.5300888553074</v>
      </c>
      <c r="D33" s="48">
        <f>INDEX(tblMatières[Quantité déclarée (tonnes)],MATCH($B33,tblMatières[Matière],0))</f>
        <v>1653.914</v>
      </c>
      <c r="E33" s="135">
        <f>INDEX(tblMatières[Nombre déclarations],MATCH($B33,tblMatières[Matière],0))</f>
        <v>160</v>
      </c>
      <c r="F33" s="287">
        <f t="shared" si="6"/>
        <v>40596.467173513585</v>
      </c>
      <c r="G33" s="287">
        <f>C33+F33</f>
        <v>48169.997262368895</v>
      </c>
      <c r="I33" s="414"/>
    </row>
    <row r="34" spans="1:9">
      <c r="A34" s="38"/>
      <c r="B34" s="37" t="str">
        <f>INDEX(ListeMatières,21)</f>
        <v>Polystyrène non expansé</v>
      </c>
      <c r="C34" s="95">
        <f>INDEX(tblMatières[Frais d''étude],MATCH($B34,tblMatières[Matière],0))</f>
        <v>20259.31685385566</v>
      </c>
      <c r="D34" s="48">
        <f>INDEX(tblMatières[Quantité déclarée (tonnes)],MATCH($B34,tblMatières[Matière],0))</f>
        <v>4424.2470000000003</v>
      </c>
      <c r="E34" s="135">
        <f>INDEX(tblMatières[Nombre déclarations],MATCH($B34,tblMatières[Matière],0))</f>
        <v>182</v>
      </c>
      <c r="F34" s="287">
        <f t="shared" si="6"/>
        <v>108596.21365017527</v>
      </c>
      <c r="G34" s="287">
        <f t="shared" si="7"/>
        <v>128855.53050403093</v>
      </c>
      <c r="I34" s="414"/>
    </row>
    <row r="35" spans="1:9">
      <c r="A35" s="38"/>
      <c r="B35" s="37" t="str">
        <f>INDEX(ListeMatières,22)</f>
        <v>Contenants de PET</v>
      </c>
      <c r="C35" s="95">
        <f>INDEX(tblMatières[Frais d''étude],MATCH($B35,tblMatières[Matière],0))</f>
        <v>36125.657106447514</v>
      </c>
      <c r="D35" s="48">
        <f>INDEX(tblMatières[Quantité déclarée (tonnes)],MATCH($B35,tblMatières[Matière],0))</f>
        <v>7889.152</v>
      </c>
      <c r="E35" s="135">
        <f>INDEX(tblMatières[Nombre déclarations],MATCH($B35,tblMatières[Matière],0))</f>
        <v>173</v>
      </c>
      <c r="F35" s="287">
        <f t="shared" si="6"/>
        <v>193644.71199521804</v>
      </c>
      <c r="G35" s="287">
        <f t="shared" si="7"/>
        <v>229770.36910166556</v>
      </c>
      <c r="I35" s="414"/>
    </row>
    <row r="36" spans="1:9">
      <c r="A36" s="38"/>
      <c r="B36" s="37" t="str">
        <f>INDEX(ListeMatières,23)</f>
        <v>PVC, acide polylactique (PLA) et autres plastiques dégradables</v>
      </c>
      <c r="C36" s="95">
        <f>INDEX(tblMatières[Frais d''étude],MATCH($B36,tblMatières[Matière],0))</f>
        <v>2249.2676517977725</v>
      </c>
      <c r="D36" s="48">
        <f>INDEX(tblMatières[Quantité déclarée (tonnes)],MATCH($B36,tblMatières[Matière],0))</f>
        <v>491.197</v>
      </c>
      <c r="E36" s="135">
        <f>INDEX(tblMatières[Nombre déclarations],MATCH($B36,tblMatières[Matière],0))</f>
        <v>78</v>
      </c>
      <c r="F36" s="287">
        <f t="shared" si="6"/>
        <v>12056.77132319356</v>
      </c>
      <c r="G36" s="287">
        <f t="shared" si="7"/>
        <v>14306.038974991332</v>
      </c>
      <c r="I36" s="414"/>
    </row>
    <row r="37" spans="1:9">
      <c r="A37" s="250"/>
      <c r="B37" s="37" t="str">
        <f>INDEX(ListeMatières,24)</f>
        <v>Autres plastiques, polymères et polyuréthanne</v>
      </c>
      <c r="C37" s="95">
        <f>INDEX(tblMatières[Frais d''étude],MATCH($B37,tblMatières[Matière],0))</f>
        <v>155277.96844403035</v>
      </c>
      <c r="D37" s="48">
        <f>INDEX(tblMatières[Quantité déclarée (tonnes)],MATCH($B37,tblMatières[Matière],0))</f>
        <v>33909.735999999997</v>
      </c>
      <c r="E37" s="135">
        <f>INDEX(tblMatières[Nombre déclarations],MATCH($B37,tblMatières[Matière],0))</f>
        <v>583</v>
      </c>
      <c r="F37" s="287">
        <f t="shared" si="6"/>
        <v>832338.00813495251</v>
      </c>
      <c r="G37" s="287">
        <f t="shared" ref="G37" si="8">C37+F37</f>
        <v>987615.9765789829</v>
      </c>
      <c r="I37" s="414"/>
    </row>
    <row r="38" spans="1:9">
      <c r="A38" s="43" t="str">
        <f>'Sommaire exécutif'!A37</f>
        <v>Plastique TOTAL</v>
      </c>
      <c r="B38" s="10"/>
      <c r="C38" s="105">
        <f>SUBTOTAL(9,C27:C37)</f>
        <v>674325.29686937726</v>
      </c>
      <c r="D38" s="22">
        <f>SUBTOTAL(9,D27:D37)</f>
        <v>147259.73700000002</v>
      </c>
      <c r="E38" s="61">
        <f>SUBTOTAL(9,E27:E37)</f>
        <v>2883</v>
      </c>
      <c r="F38" s="290">
        <f>SUBTOTAL(9,F27:F37)</f>
        <v>3614592.4631514959</v>
      </c>
      <c r="G38" s="290">
        <f>SUBTOTAL(9,G27:G37)</f>
        <v>4288917.7600208735</v>
      </c>
      <c r="I38" s="414"/>
    </row>
    <row r="39" spans="1:9">
      <c r="A39" s="46" t="str">
        <f>'Sommaire exécutif'!A38</f>
        <v>Aluminium</v>
      </c>
      <c r="B39" s="37" t="str">
        <f>INDEX(ListeMatières,25)</f>
        <v>Contenants pour aliments et breuvages en aluminium</v>
      </c>
      <c r="C39" s="95">
        <f>INDEX(tblMatières[Frais d''étude],MATCH($B39,tblMatières[Matière],0))</f>
        <v>12413.92059538297</v>
      </c>
      <c r="D39" s="135">
        <f>INDEX(tblMatières[Quantité déclarée (tonnes)],MATCH($B39,tblMatières[Matière],0))</f>
        <v>2854.9569999999999</v>
      </c>
      <c r="E39" s="58">
        <f>INDEX(tblMatières[Nombre déclarations],MATCH($B39,tblMatières[Matière],0))</f>
        <v>88</v>
      </c>
      <c r="F39" s="287">
        <f>D39/($D$44+$D$41) * ($E$44+$E$41)/$E$50 * FraisGestionImputés</f>
        <v>66542.459597099107</v>
      </c>
      <c r="G39" s="287">
        <f>C39+F39</f>
        <v>78956.380192482073</v>
      </c>
      <c r="I39" s="414"/>
    </row>
    <row r="40" spans="1:9">
      <c r="A40" s="46"/>
      <c r="B40" s="37" t="str">
        <f>INDEX(ListeMatières,26)</f>
        <v>Autres contenants et emballages en aluminium</v>
      </c>
      <c r="C40" s="95">
        <f>INDEX(tblMatières[Frais d''étude],MATCH($B40,tblMatières[Matière],0))</f>
        <v>20975.441412620414</v>
      </c>
      <c r="D40" s="135">
        <f>INDEX(tblMatières[Quantité déclarée (tonnes)],MATCH($B40,tblMatières[Matière],0))</f>
        <v>4823.9380000000001</v>
      </c>
      <c r="E40" s="58">
        <f>INDEX(tblMatières[Nombre déclarations],MATCH($B40,tblMatières[Matière],0))</f>
        <v>230</v>
      </c>
      <c r="F40" s="287">
        <f>D40/($D$44+$D$41) * ($E$44+$E$41)/$E$50 * FraisGestionImputés</f>
        <v>112434.86310438691</v>
      </c>
      <c r="G40" s="287">
        <f>C40+F40</f>
        <v>133410.30451700732</v>
      </c>
      <c r="I40" s="414"/>
    </row>
    <row r="41" spans="1:9">
      <c r="A41" s="43" t="str">
        <f>'Sommaire exécutif'!A40</f>
        <v>Aluminium TOTAL</v>
      </c>
      <c r="B41" s="10"/>
      <c r="C41" s="103">
        <f>SUBTOTAL(9,C39:C40)</f>
        <v>33389.362008003387</v>
      </c>
      <c r="D41" s="22">
        <f t="shared" ref="D41:G41" si="9">SUBTOTAL(9,D39:D40)</f>
        <v>7678.8950000000004</v>
      </c>
      <c r="E41" s="60">
        <f t="shared" si="9"/>
        <v>318</v>
      </c>
      <c r="F41" s="324">
        <f t="shared" si="9"/>
        <v>178977.322701486</v>
      </c>
      <c r="G41" s="324">
        <f t="shared" si="9"/>
        <v>212366.6847094894</v>
      </c>
      <c r="I41" s="414"/>
    </row>
    <row r="42" spans="1:9">
      <c r="A42" s="46" t="str">
        <f>'Sommaire exécutif'!A41</f>
        <v>Acier</v>
      </c>
      <c r="B42" s="37" t="str">
        <f>INDEX(ListeMatières,27)</f>
        <v>Bombes aérosol en acier</v>
      </c>
      <c r="C42" s="95">
        <f>INDEX(tblMatières[Frais d''étude],MATCH($B42,tblMatières[Matière],0))</f>
        <v>10569.505977499422</v>
      </c>
      <c r="D42" s="135">
        <f>INDEX(tblMatières[Quantité déclarée (tonnes)],MATCH($B42,tblMatières[Matière],0))</f>
        <v>2430.7779999999998</v>
      </c>
      <c r="E42" s="58">
        <f>INDEX(tblMatières[Nombre déclarations],MATCH($B42,tblMatières[Matière],0))</f>
        <v>98</v>
      </c>
      <c r="F42" s="287">
        <f>D42/($D$44+$D$41) * ($E$44+$E$41)/$E$50 * FraisGestionImputés</f>
        <v>56655.825938715505</v>
      </c>
      <c r="G42" s="287">
        <f>C42+F42</f>
        <v>67225.331916214927</v>
      </c>
      <c r="I42" s="414"/>
    </row>
    <row r="43" spans="1:9">
      <c r="A43" s="46"/>
      <c r="B43" s="37" t="str">
        <f>INDEX(ListeMatières,28)</f>
        <v>Autres contenants en acier</v>
      </c>
      <c r="C43" s="95">
        <f>INDEX(tblMatières[Frais d''étude],MATCH($B43,tblMatières[Matière],0))</f>
        <v>102226.81031604452</v>
      </c>
      <c r="D43" s="135">
        <f>INDEX(tblMatières[Quantité déclarée (tonnes)],MATCH($B43,tblMatières[Matière],0))</f>
        <v>23510.151000000002</v>
      </c>
      <c r="E43" s="58">
        <f>INDEX(tblMatières[Nombre déclarations],MATCH($B43,tblMatières[Matière],0))</f>
        <v>209</v>
      </c>
      <c r="F43" s="287">
        <f>D43/($D$44+$D$41) * ($E$44+$E$41)/$E$50 * FraisGestionImputés</f>
        <v>547967.36799860711</v>
      </c>
      <c r="G43" s="287">
        <f>C43+F43</f>
        <v>650194.1783146516</v>
      </c>
      <c r="I43" s="414"/>
    </row>
    <row r="44" spans="1:9">
      <c r="A44" s="43" t="str">
        <f>'Sommaire exécutif'!A43</f>
        <v>Acier TOTAL</v>
      </c>
      <c r="B44" s="10"/>
      <c r="C44" s="103">
        <f t="shared" ref="C44:G44" si="10">SUBTOTAL(9,C42:C43)</f>
        <v>112796.31629354393</v>
      </c>
      <c r="D44" s="22">
        <f t="shared" si="10"/>
        <v>25940.929</v>
      </c>
      <c r="E44" s="60">
        <f t="shared" si="10"/>
        <v>307</v>
      </c>
      <c r="F44" s="324">
        <f t="shared" si="10"/>
        <v>604623.19393732259</v>
      </c>
      <c r="G44" s="324">
        <f t="shared" si="10"/>
        <v>717419.51023086649</v>
      </c>
      <c r="I44" s="414"/>
    </row>
    <row r="45" spans="1:9">
      <c r="A45" s="46" t="str">
        <f>'Sommaire exécutif'!A44</f>
        <v>Verre</v>
      </c>
      <c r="B45" s="37" t="str">
        <f>INDEX(ListeMatières,29)</f>
        <v>Verre clair</v>
      </c>
      <c r="C45" s="95">
        <f>INDEX(tblMatières[Frais d''étude],MATCH($B45,tblMatières[Matière],0))</f>
        <v>232935.55122401885</v>
      </c>
      <c r="D45" s="135">
        <f>INDEX(tblMatières[Quantité déclarée (tonnes)],MATCH($B45,tblMatières[Matière],0))</f>
        <v>56442.516000000003</v>
      </c>
      <c r="E45" s="58">
        <f>INDEX(tblMatières[Nombre déclarations],MATCH($B45,tblMatières[Matière],0))</f>
        <v>204</v>
      </c>
      <c r="F45" s="287">
        <f>D45/D$47 * $E$47/$E$50 * FraisGestionImputés</f>
        <v>165657.34865331883</v>
      </c>
      <c r="G45" s="287">
        <f>C45+F45</f>
        <v>398592.89987733768</v>
      </c>
      <c r="I45" s="414"/>
    </row>
    <row r="46" spans="1:9">
      <c r="A46" s="46"/>
      <c r="B46" s="233" t="str">
        <f>INDEX(ListeMatières,30)</f>
        <v>Verre coloré</v>
      </c>
      <c r="C46" s="95">
        <f>INDEX(tblMatières[Frais d''étude],MATCH($B46,tblMatières[Matière],0))</f>
        <v>343548.79566335061</v>
      </c>
      <c r="D46" s="135">
        <f>INDEX(tblMatières[Quantité déclarée (tonnes)],MATCH($B46,tblMatières[Matière],0))</f>
        <v>83245.164999999994</v>
      </c>
      <c r="E46" s="58">
        <f>INDEX(tblMatières[Nombre déclarations],MATCH($B46,tblMatières[Matière],0))</f>
        <v>123</v>
      </c>
      <c r="F46" s="287">
        <f>D46/D$47 * $E$47/$E$50 * FraisGestionImputés</f>
        <v>244322.44165210589</v>
      </c>
      <c r="G46" s="287">
        <f>C46+F46</f>
        <v>587871.2373154565</v>
      </c>
      <c r="I46" s="414"/>
    </row>
    <row r="47" spans="1:9">
      <c r="A47" s="43" t="str">
        <f>'Sommaire exécutif'!A46</f>
        <v>Verre TOTAL</v>
      </c>
      <c r="B47" s="10"/>
      <c r="C47" s="103">
        <f t="shared" ref="C47:G47" si="11">SUBTOTAL(9,C45:C46)</f>
        <v>576484.34688736941</v>
      </c>
      <c r="D47" s="22">
        <f t="shared" si="11"/>
        <v>139687.68099999998</v>
      </c>
      <c r="E47" s="60">
        <f t="shared" si="11"/>
        <v>327</v>
      </c>
      <c r="F47" s="290">
        <f t="shared" si="11"/>
        <v>409979.79030542471</v>
      </c>
      <c r="G47" s="290">
        <f t="shared" si="11"/>
        <v>986464.13719279412</v>
      </c>
      <c r="I47" s="414"/>
    </row>
    <row r="48" spans="1:9" ht="15.75" thickBot="1">
      <c r="A48" s="56" t="str">
        <f>'Sommaire exécutif'!A47</f>
        <v>CONTENANTS ET EMBALLAGES TOTAL</v>
      </c>
      <c r="B48" s="23"/>
      <c r="C48" s="106">
        <f>SUBTOTAL(9,C19:C47)</f>
        <v>1800000</v>
      </c>
      <c r="D48" s="21">
        <f>SUBTOTAL(9,D19:D47)</f>
        <v>501933.17799999984</v>
      </c>
      <c r="E48" s="275">
        <f>SUBTOTAL(9,E19:E47)</f>
        <v>5558</v>
      </c>
      <c r="F48" s="291">
        <f>SUBTOTAL(9,F19:F47)</f>
        <v>6968402.6743655987</v>
      </c>
      <c r="G48" s="291">
        <f>SUBTOTAL(9,G19:G47)</f>
        <v>8768402.6743655968</v>
      </c>
      <c r="I48" s="414"/>
    </row>
    <row r="49" spans="1:7" ht="8.25" customHeight="1">
      <c r="A49" s="38"/>
      <c r="B49" s="35"/>
      <c r="C49" s="107"/>
      <c r="D49" s="135"/>
      <c r="E49" s="37"/>
      <c r="F49" s="287"/>
      <c r="G49" s="287"/>
    </row>
    <row r="50" spans="1:7" ht="15.75" thickBot="1">
      <c r="A50" s="57" t="str">
        <f>'Sommaire exécutif'!A49</f>
        <v>TOTAL</v>
      </c>
      <c r="B50" s="14"/>
      <c r="C50" s="232">
        <f>SUBTOTAL(9,C10:C48)</f>
        <v>1800000</v>
      </c>
      <c r="D50" s="210">
        <f t="shared" ref="D50:G50" si="12">SUBTOTAL(9,D10:D48)</f>
        <v>642270.19699999993</v>
      </c>
      <c r="E50" s="62">
        <f t="shared" si="12"/>
        <v>6581</v>
      </c>
      <c r="F50" s="293">
        <f t="shared" si="12"/>
        <v>8251000.0000000019</v>
      </c>
      <c r="G50" s="293">
        <f t="shared" si="12"/>
        <v>10051000</v>
      </c>
    </row>
    <row r="51" spans="1:7" ht="15.75" thickTop="1"/>
  </sheetData>
  <mergeCells count="1">
    <mergeCell ref="C6:G6"/>
  </mergeCells>
  <pageMargins left="0.7" right="0.7" top="0.75" bottom="0.75" header="0.3" footer="0.3"/>
  <pageSetup scale="52" fitToHeight="0" orientation="landscape" r:id="rId1"/>
  <ignoredErrors>
    <ignoredError sqref="C34:G35 C27:G32 C39:G40 C42:G43 C36:G36"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K52"/>
  <sheetViews>
    <sheetView showGridLines="0" zoomScale="80" zoomScaleNormal="80" zoomScaleSheetLayoutView="90" workbookViewId="0">
      <pane xSplit="2" ySplit="5" topLeftCell="C18" activePane="bottomRight" state="frozen"/>
      <selection activeCell="C18" sqref="C18"/>
      <selection pane="topRight" activeCell="C18" sqref="C18"/>
      <selection pane="bottomLeft" activeCell="C18" sqref="C18"/>
      <selection pane="bottomRight" activeCell="E6" sqref="E6"/>
    </sheetView>
  </sheetViews>
  <sheetFormatPr baseColWidth="10" defaultColWidth="9.140625" defaultRowHeight="14.25"/>
  <cols>
    <col min="1" max="1" width="18.28515625" style="222" customWidth="1"/>
    <col min="2" max="2" width="64.5703125" style="222" bestFit="1" customWidth="1"/>
    <col min="3" max="3" width="17.7109375" style="35" customWidth="1"/>
    <col min="4" max="4" width="13.5703125" style="35" customWidth="1"/>
    <col min="5" max="5" width="7.85546875" style="35" customWidth="1"/>
    <col min="6" max="6" width="19.42578125" style="35" bestFit="1" customWidth="1"/>
    <col min="7" max="7" width="21.85546875" style="35" bestFit="1" customWidth="1"/>
    <col min="8" max="9" width="22.140625" style="35" bestFit="1" customWidth="1"/>
    <col min="10" max="10" width="24.140625" style="35" customWidth="1"/>
    <col min="11" max="11" width="18.140625" style="35" customWidth="1"/>
    <col min="12" max="16384" width="9.140625" style="35"/>
  </cols>
  <sheetData>
    <row r="1" spans="1:11" s="36" customFormat="1" ht="15.75" thickBot="1">
      <c r="A1" s="234" t="s">
        <v>6</v>
      </c>
      <c r="B1" s="221"/>
    </row>
    <row r="3" spans="1:11" ht="27" customHeight="1">
      <c r="A3" s="620" t="s">
        <v>120</v>
      </c>
      <c r="B3" s="621"/>
      <c r="C3" s="621"/>
      <c r="D3" s="621"/>
      <c r="E3" s="621"/>
      <c r="F3" s="621"/>
      <c r="G3" s="621"/>
      <c r="H3" s="621"/>
      <c r="I3" s="621"/>
      <c r="J3" s="621"/>
      <c r="K3" s="621"/>
    </row>
    <row r="4" spans="1:11" s="244" customFormat="1" ht="60">
      <c r="A4" s="240" t="str">
        <f>'Sommaire exécutif'!A7</f>
        <v>CATÉGORIE</v>
      </c>
      <c r="B4" s="240" t="str">
        <f>'Sommaire exécutif'!B7</f>
        <v>Matière</v>
      </c>
      <c r="C4" s="241" t="s">
        <v>48</v>
      </c>
      <c r="D4" s="627" t="s">
        <v>118</v>
      </c>
      <c r="E4" s="628"/>
      <c r="F4" s="629"/>
      <c r="G4" s="242" t="str">
        <f>'Sommaire exécutif'!C7</f>
        <v>Quantité déclarée 
(tonnes)</v>
      </c>
      <c r="H4" s="241" t="s">
        <v>227</v>
      </c>
      <c r="I4" s="241" t="s">
        <v>224</v>
      </c>
      <c r="J4" s="241" t="s">
        <v>226</v>
      </c>
      <c r="K4" s="243" t="s">
        <v>119</v>
      </c>
    </row>
    <row r="5" spans="1:11" ht="15">
      <c r="A5" s="223" t="str">
        <f>'Sommaire exécutif'!A8</f>
        <v>IMPRIMÉS</v>
      </c>
      <c r="B5" s="223"/>
      <c r="C5" s="10"/>
      <c r="D5" s="78" t="s">
        <v>51</v>
      </c>
      <c r="E5" s="76" t="s">
        <v>228</v>
      </c>
      <c r="F5" s="79" t="s">
        <v>52</v>
      </c>
      <c r="G5" s="76"/>
      <c r="H5" s="76"/>
      <c r="I5" s="76"/>
      <c r="J5" s="76"/>
      <c r="K5" s="79"/>
    </row>
    <row r="6" spans="1:11">
      <c r="A6" s="228"/>
      <c r="B6" s="37" t="str">
        <f>INDEX(ListeMatières,1)</f>
        <v>Encarts et circulaires imprimés sur du papier journal</v>
      </c>
      <c r="C6" s="581" t="s">
        <v>49</v>
      </c>
      <c r="D6" s="276">
        <f t="shared" ref="D6:D11" si="0">TonnageCrédit</f>
        <v>0.15</v>
      </c>
      <c r="E6" s="557">
        <v>0.05</v>
      </c>
      <c r="F6" s="283">
        <f t="shared" ref="F6:F11" si="1">IF(C6 = $A$52,IF(E6="",D6,E6),0)</f>
        <v>0.05</v>
      </c>
      <c r="G6" s="135">
        <f>INDEX(tblMatières[Quantité déclarée (tonnes)],MATCH($B6,tblMatières[Matière],0))</f>
        <v>92875.491999999998</v>
      </c>
      <c r="H6" s="135">
        <f t="shared" ref="H6:H11" si="2">IF(C6=$A$52,F6 * G6,0)</f>
        <v>4643.7745999999997</v>
      </c>
      <c r="I6" s="135">
        <f t="shared" ref="I6:I11" si="3">G6-H6</f>
        <v>88231.717399999994</v>
      </c>
      <c r="J6" s="287">
        <f t="shared" ref="J6:J11" si="4">K6*H6</f>
        <v>189994.00790006047</v>
      </c>
      <c r="K6" s="97">
        <f>IF(AND(C6=$A$52,H6&gt;0),RabaisCrédit *(Tarif!L11/(I6+H6*(1-RabaisCrédit))),0)</f>
        <v>40.913701517739575</v>
      </c>
    </row>
    <row r="7" spans="1:11">
      <c r="A7" s="228"/>
      <c r="B7" s="37" t="str">
        <f>INDEX(ListeMatières,2)</f>
        <v>Catalogues et publications</v>
      </c>
      <c r="C7" s="581" t="s">
        <v>49</v>
      </c>
      <c r="D7" s="276">
        <f t="shared" si="0"/>
        <v>0.15</v>
      </c>
      <c r="E7" s="557">
        <v>0.05</v>
      </c>
      <c r="F7" s="283">
        <f t="shared" si="1"/>
        <v>0.05</v>
      </c>
      <c r="G7" s="135">
        <f>INDEX(tblMatières[Quantité déclarée (tonnes)],MATCH($B7,tblMatières[Matière],0))</f>
        <v>11747.308000000001</v>
      </c>
      <c r="H7" s="135">
        <f t="shared" si="2"/>
        <v>587.36540000000002</v>
      </c>
      <c r="I7" s="135">
        <f>G7-H7</f>
        <v>11159.9426</v>
      </c>
      <c r="J7" s="287">
        <f t="shared" si="4"/>
        <v>34637.000708765823</v>
      </c>
      <c r="K7" s="97">
        <f>IF($C7 = $A$52,RabaisCrédit * $G7 * Tarif!$L$12 / SUM(Tarif!$G$12:$G$16) / ($I7 + $H7 * (1-RabaisCrédit)),0)</f>
        <v>58.970107379096248</v>
      </c>
    </row>
    <row r="8" spans="1:11">
      <c r="A8" s="228"/>
      <c r="B8" s="37" t="str">
        <f>INDEX(ListeMatières,3)</f>
        <v>Magazines</v>
      </c>
      <c r="C8" s="581" t="s">
        <v>49</v>
      </c>
      <c r="D8" s="276">
        <f t="shared" si="0"/>
        <v>0.15</v>
      </c>
      <c r="E8" s="557">
        <v>0.05</v>
      </c>
      <c r="F8" s="283">
        <f t="shared" si="1"/>
        <v>0.05</v>
      </c>
      <c r="G8" s="135">
        <f>INDEX(tblMatières[Quantité déclarée (tonnes)],MATCH($B8,tblMatières[Matière],0))</f>
        <v>6696.5619999999999</v>
      </c>
      <c r="H8" s="135">
        <f t="shared" si="2"/>
        <v>334.82810000000001</v>
      </c>
      <c r="I8" s="135">
        <f t="shared" si="3"/>
        <v>6361.7339000000002</v>
      </c>
      <c r="J8" s="287">
        <f t="shared" si="4"/>
        <v>19744.849010538775</v>
      </c>
      <c r="K8" s="97">
        <f>IF($C8 = $A$52,RabaisCrédit * $G8 * Tarif!$L$12 / SUM(Tarif!$G$12:$G$16) / ($I8 + $H8 * (1-RabaisCrédit)),0)</f>
        <v>58.970107379096248</v>
      </c>
    </row>
    <row r="9" spans="1:11">
      <c r="A9" s="228"/>
      <c r="B9" s="37" t="str">
        <f>INDEX(ListeMatières,4)</f>
        <v>Annuaires téléphoniques</v>
      </c>
      <c r="C9" s="581" t="s">
        <v>49</v>
      </c>
      <c r="D9" s="276">
        <f t="shared" si="0"/>
        <v>0.15</v>
      </c>
      <c r="E9" s="557">
        <v>0.05</v>
      </c>
      <c r="F9" s="283">
        <f t="shared" si="1"/>
        <v>0.05</v>
      </c>
      <c r="G9" s="135">
        <f>INDEX(tblMatières[Quantité déclarée (tonnes)],MATCH($B9,tblMatières[Matière],0))</f>
        <v>587.05999999999995</v>
      </c>
      <c r="H9" s="135">
        <f t="shared" si="2"/>
        <v>29.352999999999998</v>
      </c>
      <c r="I9" s="135">
        <f t="shared" si="3"/>
        <v>557.70699999999999</v>
      </c>
      <c r="J9" s="287">
        <f t="shared" si="4"/>
        <v>1730.949561898612</v>
      </c>
      <c r="K9" s="97">
        <f>IF($C9 = $A$52,RabaisCrédit * $G9 * Tarif!$L$12 / SUM(Tarif!$G$12:$G$16) / ($I9 + $H9 * (1-RabaisCrédit)),0)</f>
        <v>58.970107379096248</v>
      </c>
    </row>
    <row r="10" spans="1:11">
      <c r="A10" s="228"/>
      <c r="B10" s="37" t="str">
        <f>INDEX(ListeMatières,5)</f>
        <v>Papier à usage général</v>
      </c>
      <c r="C10" s="581" t="s">
        <v>49</v>
      </c>
      <c r="D10" s="276">
        <f t="shared" si="0"/>
        <v>0.15</v>
      </c>
      <c r="E10" s="557">
        <v>0.05</v>
      </c>
      <c r="F10" s="283">
        <f t="shared" si="1"/>
        <v>0.05</v>
      </c>
      <c r="G10" s="135">
        <f>INDEX(tblMatières[Quantité déclarée (tonnes)],MATCH($B10,tblMatières[Matière],0))</f>
        <v>4563.4139999999998</v>
      </c>
      <c r="H10" s="135">
        <f t="shared" si="2"/>
        <v>228.17070000000001</v>
      </c>
      <c r="I10" s="135">
        <f t="shared" si="3"/>
        <v>4335.2433000000001</v>
      </c>
      <c r="J10" s="287">
        <f t="shared" si="4"/>
        <v>13455.250679763558</v>
      </c>
      <c r="K10" s="97">
        <f>IF($C10 = $A$52,RabaisCrédit * $G10 * Tarif!$L$12 / SUM(Tarif!$G$12:$G$16) / ($I10 + $H10 * (1-RabaisCrédit)),0)</f>
        <v>58.970107379096248</v>
      </c>
    </row>
    <row r="11" spans="1:11">
      <c r="A11" s="228"/>
      <c r="B11" s="37" t="str">
        <f>INDEX(ListeMatières,6)</f>
        <v>Autres imprimés</v>
      </c>
      <c r="C11" s="581" t="s">
        <v>49</v>
      </c>
      <c r="D11" s="276">
        <f t="shared" si="0"/>
        <v>0.15</v>
      </c>
      <c r="E11" s="557">
        <v>0.05</v>
      </c>
      <c r="F11" s="283">
        <f t="shared" si="1"/>
        <v>0.05</v>
      </c>
      <c r="G11" s="135">
        <f>INDEX(tblMatières[Quantité déclarée (tonnes)],MATCH($B11,tblMatières[Matière],0))</f>
        <v>23867.183000000001</v>
      </c>
      <c r="H11" s="135">
        <f t="shared" si="2"/>
        <v>1193.35915</v>
      </c>
      <c r="I11" s="135">
        <f t="shared" si="3"/>
        <v>22673.823850000001</v>
      </c>
      <c r="J11" s="287">
        <f t="shared" si="4"/>
        <v>70372.517217327026</v>
      </c>
      <c r="K11" s="97">
        <f>IF($C11 = $A$52,RabaisCrédit * $G11 * Tarif!$L$12 / SUM(Tarif!$G$12:$G$16) / ($I11 + $H11 * (1-RabaisCrédit)),0)</f>
        <v>58.970107379096248</v>
      </c>
    </row>
    <row r="12" spans="1:11" ht="15.75" thickBot="1">
      <c r="A12" s="224" t="str">
        <f>'Sommaire exécutif'!A15</f>
        <v>IMPRIMÉS TOTAL</v>
      </c>
      <c r="B12" s="224"/>
      <c r="C12" s="582"/>
      <c r="D12" s="277"/>
      <c r="E12" s="278"/>
      <c r="F12" s="284"/>
      <c r="G12" s="21">
        <f>SUBTOTAL(9,G6:G11)</f>
        <v>140337.019</v>
      </c>
      <c r="H12" s="21">
        <f t="shared" ref="H12:J12" si="5">SUBTOTAL(9,H6:H11)</f>
        <v>7016.8509499999991</v>
      </c>
      <c r="I12" s="21">
        <f t="shared" si="5"/>
        <v>133320.16804999998</v>
      </c>
      <c r="J12" s="289">
        <f t="shared" si="5"/>
        <v>329934.57507835428</v>
      </c>
      <c r="K12" s="99">
        <f>IF(H12=0,0,J12/H12)</f>
        <v>47.020319717401769</v>
      </c>
    </row>
    <row r="13" spans="1:11">
      <c r="A13" s="228"/>
      <c r="B13" s="228"/>
      <c r="C13" s="581"/>
      <c r="D13" s="276"/>
      <c r="E13" s="279"/>
      <c r="F13" s="285"/>
      <c r="G13" s="135"/>
      <c r="H13" s="135"/>
      <c r="I13" s="135"/>
      <c r="J13" s="287"/>
      <c r="K13" s="97"/>
    </row>
    <row r="14" spans="1:11" ht="15">
      <c r="A14" s="223" t="str">
        <f>'Sommaire exécutif'!A17</f>
        <v>CONTENANTS ET EMBALLAGES</v>
      </c>
      <c r="B14" s="225"/>
      <c r="C14" s="583"/>
      <c r="D14" s="280"/>
      <c r="E14" s="281"/>
      <c r="F14" s="286"/>
      <c r="G14" s="209"/>
      <c r="H14" s="209"/>
      <c r="I14" s="209"/>
      <c r="J14" s="294"/>
      <c r="K14" s="102"/>
    </row>
    <row r="15" spans="1:11">
      <c r="A15" s="228" t="str">
        <f>'Sommaire exécutif'!A18</f>
        <v>Papier et carton</v>
      </c>
      <c r="B15" s="37" t="str">
        <f>INDEX(ListeMatières,7)</f>
        <v>Carton ondulé</v>
      </c>
      <c r="C15" s="581" t="s">
        <v>50</v>
      </c>
      <c r="D15" s="276">
        <f t="shared" ref="D15:D21" si="6">TonnageCrédit</f>
        <v>0.15</v>
      </c>
      <c r="E15" s="385"/>
      <c r="F15" s="285">
        <f t="shared" ref="F15:F21" si="7">IF(C15 = $A$52,IF(E15="",D15,E15),0)</f>
        <v>0</v>
      </c>
      <c r="G15" s="135">
        <f>INDEX(tblMatières[Quantité déclarée (tonnes)],MATCH($B15,tblMatières[Matière],0))</f>
        <v>57058.644</v>
      </c>
      <c r="H15" s="135">
        <f t="shared" ref="H15:H21" si="8">IF(C15=$A$52,F15 * G15,0)</f>
        <v>0</v>
      </c>
      <c r="I15" s="135">
        <f t="shared" ref="I15:I21" si="9">G15-H15</f>
        <v>57058.644</v>
      </c>
      <c r="J15" s="287">
        <f t="shared" ref="J15:J21" si="10">K15*H15</f>
        <v>0</v>
      </c>
      <c r="K15" s="97">
        <f>IF(AND(C15=$A$52,H15&gt;0),RabaisCrédit *(Tarif!L20/(I15+H15*(1-RabaisCrédit))),0)</f>
        <v>0</v>
      </c>
    </row>
    <row r="16" spans="1:11">
      <c r="A16" s="228"/>
      <c r="B16" s="37" t="str">
        <f>INDEX(ListeMatières,8)</f>
        <v>Sacs de papier kraft</v>
      </c>
      <c r="C16" s="581" t="s">
        <v>50</v>
      </c>
      <c r="D16" s="276">
        <f t="shared" si="6"/>
        <v>0.15</v>
      </c>
      <c r="E16" s="585">
        <v>0</v>
      </c>
      <c r="F16" s="285">
        <f t="shared" si="7"/>
        <v>0</v>
      </c>
      <c r="G16" s="135">
        <f>INDEX(tblMatières[Quantité déclarée (tonnes)],MATCH($B16,tblMatières[Matière],0))</f>
        <v>3143.279</v>
      </c>
      <c r="H16" s="135">
        <f t="shared" si="8"/>
        <v>0</v>
      </c>
      <c r="I16" s="135">
        <f t="shared" si="9"/>
        <v>3143.279</v>
      </c>
      <c r="J16" s="287">
        <f t="shared" si="10"/>
        <v>0</v>
      </c>
      <c r="K16" s="97">
        <f>IF(AND(C16=$A$52,H16&gt;0),RabaisCrédit *(Tarif!L21/(I16+H16*(1-RabaisCrédit))),0)</f>
        <v>0</v>
      </c>
    </row>
    <row r="17" spans="1:11">
      <c r="A17" s="228"/>
      <c r="B17" s="37" t="str">
        <f>INDEX(ListeMatières,9)</f>
        <v>Emballages de papier kraft</v>
      </c>
      <c r="C17" s="581" t="s">
        <v>50</v>
      </c>
      <c r="D17" s="276">
        <f t="shared" si="6"/>
        <v>0.15</v>
      </c>
      <c r="E17" s="585">
        <v>0</v>
      </c>
      <c r="F17" s="285">
        <f t="shared" si="7"/>
        <v>0</v>
      </c>
      <c r="G17" s="135">
        <f>INDEX(tblMatières[Quantité déclarée (tonnes)],MATCH($B17,tblMatières[Matière],0))</f>
        <v>1981.269</v>
      </c>
      <c r="H17" s="135">
        <f t="shared" si="8"/>
        <v>0</v>
      </c>
      <c r="I17" s="135">
        <f t="shared" si="9"/>
        <v>1981.269</v>
      </c>
      <c r="J17" s="287">
        <f t="shared" si="10"/>
        <v>0</v>
      </c>
      <c r="K17" s="97">
        <f>IF(AND(C17=$A$52,H17&gt;0),RabaisCrédit *(Tarif!L22/(I17+H17*(1-RabaisCrédit))),0)</f>
        <v>0</v>
      </c>
    </row>
    <row r="18" spans="1:11">
      <c r="A18" s="228"/>
      <c r="B18" s="37" t="str">
        <f>INDEX(ListeMatières,10)</f>
        <v>Carton plat et autres emballages de papier</v>
      </c>
      <c r="C18" s="581" t="s">
        <v>50</v>
      </c>
      <c r="D18" s="276">
        <f t="shared" si="6"/>
        <v>0.15</v>
      </c>
      <c r="E18" s="585"/>
      <c r="F18" s="285">
        <f t="shared" si="7"/>
        <v>0</v>
      </c>
      <c r="G18" s="135">
        <f>INDEX(tblMatières[Quantité déclarée (tonnes)],MATCH($B18,tblMatières[Matière],0))</f>
        <v>89357.737999999998</v>
      </c>
      <c r="H18" s="135">
        <f t="shared" si="8"/>
        <v>0</v>
      </c>
      <c r="I18" s="135">
        <f t="shared" si="9"/>
        <v>89357.737999999998</v>
      </c>
      <c r="J18" s="287">
        <f t="shared" si="10"/>
        <v>0</v>
      </c>
      <c r="K18" s="97">
        <f>IF(AND(C18=$A$52,H18&gt;0),RabaisCrédit *(Tarif!L23/(I18+H18*(1-RabaisCrédit))),0)</f>
        <v>0</v>
      </c>
    </row>
    <row r="19" spans="1:11">
      <c r="A19" s="228"/>
      <c r="B19" s="37" t="str">
        <f>INDEX(ListeMatières,11)</f>
        <v>Contenants à pignon</v>
      </c>
      <c r="C19" s="581" t="s">
        <v>50</v>
      </c>
      <c r="D19" s="276">
        <f t="shared" si="6"/>
        <v>0.15</v>
      </c>
      <c r="E19" s="585"/>
      <c r="F19" s="285">
        <f t="shared" si="7"/>
        <v>0</v>
      </c>
      <c r="G19" s="135">
        <f>INDEX(tblMatières[Quantité déclarée (tonnes)],MATCH($B19,tblMatières[Matière],0))</f>
        <v>10642.311</v>
      </c>
      <c r="H19" s="135">
        <f t="shared" si="8"/>
        <v>0</v>
      </c>
      <c r="I19" s="135">
        <f t="shared" si="9"/>
        <v>10642.311</v>
      </c>
      <c r="J19" s="287">
        <f t="shared" si="10"/>
        <v>0</v>
      </c>
      <c r="K19" s="97">
        <f>IF(AND(C19=$A$52,H19&gt;0),RabaisCrédit *(Tarif!L24/(I19+H19*(1-RabaisCrédit))),0)</f>
        <v>0</v>
      </c>
    </row>
    <row r="20" spans="1:11">
      <c r="A20" s="228"/>
      <c r="B20" s="37" t="str">
        <f>INDEX(ListeMatières,12)</f>
        <v>Laminés de papier</v>
      </c>
      <c r="C20" s="581" t="s">
        <v>50</v>
      </c>
      <c r="D20" s="276">
        <f t="shared" si="6"/>
        <v>0.15</v>
      </c>
      <c r="E20" s="585">
        <v>0</v>
      </c>
      <c r="F20" s="285">
        <f t="shared" si="7"/>
        <v>0</v>
      </c>
      <c r="G20" s="135">
        <f>INDEX(tblMatières[Quantité déclarée (tonnes)],MATCH($B20,tblMatières[Matière],0))</f>
        <v>13221.805</v>
      </c>
      <c r="H20" s="135">
        <f t="shared" si="8"/>
        <v>0</v>
      </c>
      <c r="I20" s="135">
        <f t="shared" si="9"/>
        <v>13221.805</v>
      </c>
      <c r="J20" s="287">
        <f t="shared" si="10"/>
        <v>0</v>
      </c>
      <c r="K20" s="97">
        <f>IF(AND(C20=$A$52,H20&gt;0),RabaisCrédit *(Tarif!L25/(I20+H20*(1-RabaisCrédit))),0)</f>
        <v>0</v>
      </c>
    </row>
    <row r="21" spans="1:11">
      <c r="A21" s="228"/>
      <c r="B21" s="37" t="str">
        <f>INDEX(ListeMatières,13)</f>
        <v>Contenants aseptiques</v>
      </c>
      <c r="C21" s="581" t="s">
        <v>50</v>
      </c>
      <c r="D21" s="276">
        <f t="shared" si="6"/>
        <v>0.15</v>
      </c>
      <c r="E21" s="585"/>
      <c r="F21" s="285">
        <f t="shared" si="7"/>
        <v>0</v>
      </c>
      <c r="G21" s="135">
        <f>INDEX(tblMatières[Quantité déclarée (tonnes)],MATCH($B21,tblMatières[Matière],0))</f>
        <v>5960.89</v>
      </c>
      <c r="H21" s="135">
        <f t="shared" si="8"/>
        <v>0</v>
      </c>
      <c r="I21" s="135">
        <f t="shared" si="9"/>
        <v>5960.89</v>
      </c>
      <c r="J21" s="287">
        <f t="shared" si="10"/>
        <v>0</v>
      </c>
      <c r="K21" s="97">
        <f>IF(AND(C21=$A$52,H21&gt;0),RabaisCrédit *(Tarif!L26/(I21+H21*(1-RabaisCrédit))),0)</f>
        <v>0</v>
      </c>
    </row>
    <row r="22" spans="1:11" ht="15">
      <c r="A22" s="223" t="str">
        <f>'Sommaire exécutif'!A25</f>
        <v>Papier et carton TOTAL</v>
      </c>
      <c r="B22" s="223"/>
      <c r="C22" s="584"/>
      <c r="D22" s="78"/>
      <c r="E22" s="586"/>
      <c r="F22" s="79"/>
      <c r="G22" s="22">
        <f>SUBTOTAL(9,G15:G21)</f>
        <v>181365.93599999999</v>
      </c>
      <c r="H22" s="22">
        <f t="shared" ref="H22:I22" si="11">SUBTOTAL(9,H15:H21)</f>
        <v>0</v>
      </c>
      <c r="I22" s="22">
        <f t="shared" si="11"/>
        <v>181365.93599999999</v>
      </c>
      <c r="J22" s="290">
        <f>SUM(J15:J21)</f>
        <v>0</v>
      </c>
      <c r="K22" s="104">
        <f>IF(H22=0,0,J22/H22)</f>
        <v>0</v>
      </c>
    </row>
    <row r="23" spans="1:11">
      <c r="A23" s="228" t="str">
        <f>'Sommaire exécutif'!A26</f>
        <v>Plastique</v>
      </c>
      <c r="B23" s="37" t="str">
        <f>INDEX(ListeMatières,14)</f>
        <v>Bouteilles PET</v>
      </c>
      <c r="C23" s="581" t="s">
        <v>49</v>
      </c>
      <c r="D23" s="276">
        <f t="shared" ref="D23:D33" si="12">TonnageCrédit</f>
        <v>0.15</v>
      </c>
      <c r="E23" s="557">
        <v>7.4999999999999997E-2</v>
      </c>
      <c r="F23" s="283">
        <f t="shared" ref="F23:F33" si="13">IF(C23 = $A$52,IF(E23="",D23,E23),0)</f>
        <v>7.4999999999999997E-2</v>
      </c>
      <c r="G23" s="135">
        <f>INDEX(tblMatières[Quantité déclarée (tonnes)],MATCH($B23,tblMatières[Matière],0))</f>
        <v>28454.071</v>
      </c>
      <c r="H23" s="135">
        <f t="shared" ref="H23:H33" si="14">IF(C23=$A$52,F23 * G23,0)</f>
        <v>2134.0553249999998</v>
      </c>
      <c r="I23" s="135">
        <f t="shared" ref="I23:I32" si="15">G23-H23</f>
        <v>26320.015674999999</v>
      </c>
      <c r="J23" s="287">
        <f t="shared" ref="J23:J32" si="16">K23*H23</f>
        <v>121816.79319900616</v>
      </c>
      <c r="K23" s="97">
        <f>IF($C23 = $A$52,RabaisCrédit * ($G$23 + $G$31) * Tarif!$L$28 /(Tarif!$G$28 + Tarif!$G$36) / (($I$23 + $I$31) + ($H$23 + $H$31) * (1-RabaisCrédit)),0)</f>
        <v>57.082303243008084</v>
      </c>
    </row>
    <row r="24" spans="1:11">
      <c r="A24" s="228"/>
      <c r="B24" s="37" t="str">
        <f>INDEX(ListeMatières,15)</f>
        <v>Bouteilles HDPE</v>
      </c>
      <c r="C24" s="581" t="s">
        <v>50</v>
      </c>
      <c r="D24" s="276">
        <f t="shared" si="12"/>
        <v>0.15</v>
      </c>
      <c r="E24" s="585">
        <v>0</v>
      </c>
      <c r="F24" s="285">
        <f t="shared" si="13"/>
        <v>0</v>
      </c>
      <c r="G24" s="135">
        <f>INDEX(tblMatières[Quantité déclarée (tonnes)],MATCH($B24,tblMatières[Matière],0))</f>
        <v>19105.120999999999</v>
      </c>
      <c r="H24" s="135">
        <f t="shared" si="14"/>
        <v>0</v>
      </c>
      <c r="I24" s="135">
        <f t="shared" si="15"/>
        <v>19105.120999999999</v>
      </c>
      <c r="J24" s="287">
        <f t="shared" si="16"/>
        <v>0</v>
      </c>
      <c r="K24" s="97">
        <f>IF(AND(C24=$A$52,H24&gt;0),RabaisCrédit *(Tarif!L29/(I24+H24*(1-RabaisCrédit))),0)</f>
        <v>0</v>
      </c>
    </row>
    <row r="25" spans="1:11">
      <c r="A25" s="228"/>
      <c r="B25" s="37" t="str">
        <f>INDEX(ListeMatières,16)</f>
        <v>Plastiques stratifiés</v>
      </c>
      <c r="C25" s="581" t="s">
        <v>50</v>
      </c>
      <c r="D25" s="276">
        <f t="shared" si="12"/>
        <v>0.15</v>
      </c>
      <c r="E25" s="585"/>
      <c r="F25" s="285">
        <f t="shared" si="13"/>
        <v>0</v>
      </c>
      <c r="G25" s="135">
        <f>INDEX(tblMatières[Quantité déclarée (tonnes)],MATCH($B25,tblMatières[Matière],0))</f>
        <v>18345.511999999999</v>
      </c>
      <c r="H25" s="135">
        <f t="shared" si="14"/>
        <v>0</v>
      </c>
      <c r="I25" s="135">
        <f t="shared" si="15"/>
        <v>18345.511999999999</v>
      </c>
      <c r="J25" s="287">
        <f t="shared" si="16"/>
        <v>0</v>
      </c>
      <c r="K25" s="97">
        <f>IF(AND(C25=$A$52,H25&gt;0),RabaisCrédit *(Tarif!L30/(I25+H25*(1-RabaisCrédit))),0)</f>
        <v>0</v>
      </c>
    </row>
    <row r="26" spans="1:11">
      <c r="A26" s="228"/>
      <c r="B26" s="37" t="str">
        <f>INDEX(ListeMatières,17)</f>
        <v>Pellicules HDPE et LDPE</v>
      </c>
      <c r="C26" s="581" t="s">
        <v>50</v>
      </c>
      <c r="D26" s="276">
        <f t="shared" si="12"/>
        <v>0.15</v>
      </c>
      <c r="E26" s="585"/>
      <c r="F26" s="285">
        <f t="shared" si="13"/>
        <v>0</v>
      </c>
      <c r="G26" s="135">
        <f>INDEX(tblMatières[Quantité déclarée (tonnes)],MATCH($B26,tblMatières[Matière],0))</f>
        <v>20600.752</v>
      </c>
      <c r="H26" s="135">
        <f t="shared" si="14"/>
        <v>0</v>
      </c>
      <c r="I26" s="135">
        <f t="shared" si="15"/>
        <v>20600.752</v>
      </c>
      <c r="J26" s="287">
        <f t="shared" si="16"/>
        <v>0</v>
      </c>
      <c r="K26" s="97">
        <f>IF(AND(C26=$A$52,H26&gt;0),RabaisCrédit *(Tarif!L31/(I26+H26*(1-RabaisCrédit))),0)</f>
        <v>0</v>
      </c>
    </row>
    <row r="27" spans="1:11">
      <c r="A27" s="228"/>
      <c r="B27" s="37" t="str">
        <f>INDEX(ListeMatières,18)</f>
        <v>Sacs d'emplettes de pellicules HDPE et LDPE</v>
      </c>
      <c r="C27" s="581" t="s">
        <v>50</v>
      </c>
      <c r="D27" s="276">
        <f t="shared" si="12"/>
        <v>0.15</v>
      </c>
      <c r="E27" s="585"/>
      <c r="F27" s="285">
        <f t="shared" si="13"/>
        <v>0</v>
      </c>
      <c r="G27" s="135">
        <f>INDEX(tblMatières[Quantité déclarée (tonnes)],MATCH($B27,tblMatières[Matière],0))</f>
        <v>8808.5460000000003</v>
      </c>
      <c r="H27" s="135">
        <f t="shared" si="14"/>
        <v>0</v>
      </c>
      <c r="I27" s="135">
        <f t="shared" si="15"/>
        <v>8808.5460000000003</v>
      </c>
      <c r="J27" s="287">
        <f t="shared" si="16"/>
        <v>0</v>
      </c>
      <c r="K27" s="97">
        <f>IF(AND(C27=$A$52,H27&gt;0),RabaisCrédit *(Tarif!L32/(I27+H27*(1-RabaisCrédit))),0)</f>
        <v>0</v>
      </c>
    </row>
    <row r="28" spans="1:11">
      <c r="A28" s="228"/>
      <c r="B28" s="37" t="str">
        <f>INDEX(ListeMatières,19)</f>
        <v>Polystyrène expansé alimentaire</v>
      </c>
      <c r="C28" s="581" t="s">
        <v>50</v>
      </c>
      <c r="D28" s="276">
        <f t="shared" si="12"/>
        <v>0.15</v>
      </c>
      <c r="E28" s="585"/>
      <c r="F28" s="285">
        <f t="shared" si="13"/>
        <v>0</v>
      </c>
      <c r="G28" s="135">
        <f>INDEX(tblMatières[Quantité déclarée (tonnes)],MATCH($B28,tblMatières[Matière],0))</f>
        <v>3577.489</v>
      </c>
      <c r="H28" s="135">
        <f t="shared" si="14"/>
        <v>0</v>
      </c>
      <c r="I28" s="135">
        <f t="shared" si="15"/>
        <v>3577.489</v>
      </c>
      <c r="J28" s="287">
        <f t="shared" si="16"/>
        <v>0</v>
      </c>
      <c r="K28" s="97">
        <f>IF(AND(C28=$A$52,H28&gt;0),RabaisCrédit *(Tarif!L33/(I28+H28*(1-RabaisCrédit))),0)</f>
        <v>0</v>
      </c>
    </row>
    <row r="29" spans="1:11">
      <c r="A29" s="228"/>
      <c r="B29" s="37" t="str">
        <f>INDEX(ListeMatières,20)</f>
        <v>Polystyrène expansé de protection</v>
      </c>
      <c r="C29" s="581" t="s">
        <v>50</v>
      </c>
      <c r="D29" s="276">
        <f t="shared" si="12"/>
        <v>0.15</v>
      </c>
      <c r="E29" s="585"/>
      <c r="F29" s="285">
        <f t="shared" si="13"/>
        <v>0</v>
      </c>
      <c r="G29" s="135">
        <f>INDEX(tblMatières[Quantité déclarée (tonnes)],MATCH($B29,tblMatières[Matière],0))</f>
        <v>1653.914</v>
      </c>
      <c r="H29" s="135">
        <f t="shared" si="14"/>
        <v>0</v>
      </c>
      <c r="I29" s="135">
        <f>G29-H29</f>
        <v>1653.914</v>
      </c>
      <c r="J29" s="287">
        <f t="shared" si="16"/>
        <v>0</v>
      </c>
      <c r="K29" s="97">
        <f>IF(AND(C29=$A$52,H29&gt;0),RabaisCrédit *(Tarif!L34/(I29+H29*(1-RabaisCrédit))),0)</f>
        <v>0</v>
      </c>
    </row>
    <row r="30" spans="1:11">
      <c r="A30" s="228"/>
      <c r="B30" s="37" t="str">
        <f>INDEX(ListeMatières,21)</f>
        <v>Polystyrène non expansé</v>
      </c>
      <c r="C30" s="581" t="s">
        <v>50</v>
      </c>
      <c r="D30" s="276">
        <f t="shared" si="12"/>
        <v>0.15</v>
      </c>
      <c r="E30" s="585"/>
      <c r="F30" s="285">
        <f t="shared" si="13"/>
        <v>0</v>
      </c>
      <c r="G30" s="135">
        <f>INDEX(tblMatières[Quantité déclarée (tonnes)],MATCH($B30,tblMatières[Matière],0))</f>
        <v>4424.2470000000003</v>
      </c>
      <c r="H30" s="135">
        <f t="shared" si="14"/>
        <v>0</v>
      </c>
      <c r="I30" s="135">
        <f t="shared" si="15"/>
        <v>4424.2470000000003</v>
      </c>
      <c r="J30" s="287">
        <f t="shared" si="16"/>
        <v>0</v>
      </c>
      <c r="K30" s="97">
        <f>IF(AND(C30=$A$52,H30&gt;0),RabaisCrédit *(Tarif!L35/(I30+H30*(1-RabaisCrédit))),0)</f>
        <v>0</v>
      </c>
    </row>
    <row r="31" spans="1:11">
      <c r="A31" s="228"/>
      <c r="B31" s="37" t="str">
        <f>INDEX(ListeMatières,22)</f>
        <v>Contenants de PET</v>
      </c>
      <c r="C31" s="581" t="s">
        <v>49</v>
      </c>
      <c r="D31" s="276">
        <f t="shared" si="12"/>
        <v>0.15</v>
      </c>
      <c r="E31" s="557">
        <v>7.4999999999999997E-2</v>
      </c>
      <c r="F31" s="283">
        <f t="shared" si="13"/>
        <v>7.4999999999999997E-2</v>
      </c>
      <c r="G31" s="135">
        <f>INDEX(tblMatières[Quantité déclarée (tonnes)],MATCH($B31,tblMatières[Matière],0))</f>
        <v>7889.152</v>
      </c>
      <c r="H31" s="135">
        <f t="shared" si="14"/>
        <v>591.68639999999994</v>
      </c>
      <c r="I31" s="135">
        <f t="shared" si="15"/>
        <v>7297.4656000000004</v>
      </c>
      <c r="J31" s="287">
        <f t="shared" si="16"/>
        <v>33774.822509563775</v>
      </c>
      <c r="K31" s="97">
        <f>IF($C31 = $A$52,RabaisCrédit * ($G$23 + $G$31) * Tarif!$L$28 /(Tarif!$G$28 + Tarif!$G$36) / (($I$23 + $I$31) + ($H$23 + $H$31) * (1-RabaisCrédit)),0)</f>
        <v>57.082303243008084</v>
      </c>
    </row>
    <row r="32" spans="1:11">
      <c r="A32" s="228"/>
      <c r="B32" s="37" t="str">
        <f>INDEX(ListeMatières,23)</f>
        <v>PVC, acide polylactique (PLA) et autres plastiques dégradables</v>
      </c>
      <c r="C32" s="581" t="s">
        <v>50</v>
      </c>
      <c r="D32" s="276">
        <f t="shared" si="12"/>
        <v>0.15</v>
      </c>
      <c r="E32" s="585"/>
      <c r="F32" s="285">
        <f t="shared" si="13"/>
        <v>0</v>
      </c>
      <c r="G32" s="135">
        <f>INDEX(tblMatières[Quantité déclarée (tonnes)],MATCH($B32,tblMatières[Matière],0))</f>
        <v>491.197</v>
      </c>
      <c r="H32" s="135">
        <f t="shared" si="14"/>
        <v>0</v>
      </c>
      <c r="I32" s="135">
        <f t="shared" si="15"/>
        <v>491.197</v>
      </c>
      <c r="J32" s="287">
        <f t="shared" si="16"/>
        <v>0</v>
      </c>
      <c r="K32" s="97">
        <f>IF(AND(C32=$A$52,H32&gt;0),RabaisCrédit *(Tarif!L38/(I32+H32*(1-RabaisCrédit))),0)</f>
        <v>0</v>
      </c>
    </row>
    <row r="33" spans="1:11">
      <c r="A33" s="228"/>
      <c r="B33" s="37" t="str">
        <f>INDEX(ListeMatières,24)</f>
        <v>Autres plastiques, polymères et polyuréthanne</v>
      </c>
      <c r="C33" s="581" t="s">
        <v>50</v>
      </c>
      <c r="D33" s="276">
        <f t="shared" si="12"/>
        <v>0.15</v>
      </c>
      <c r="E33" s="585"/>
      <c r="F33" s="285">
        <f t="shared" si="13"/>
        <v>0</v>
      </c>
      <c r="G33" s="135">
        <f>INDEX(tblMatières[Quantité déclarée (tonnes)],MATCH($B33,tblMatières[Matière],0))</f>
        <v>33909.735999999997</v>
      </c>
      <c r="H33" s="135">
        <f t="shared" si="14"/>
        <v>0</v>
      </c>
      <c r="I33" s="135">
        <f t="shared" ref="I33" si="17">G33-H33</f>
        <v>33909.735999999997</v>
      </c>
      <c r="J33" s="287">
        <f t="shared" ref="J33" si="18">K33*H33</f>
        <v>0</v>
      </c>
      <c r="K33" s="97">
        <f>IF(AND(C33=$A$52,H33&gt;0),RabaisCrédit *(Tarif!L39/(I33+H33*(1-RabaisCrédit))),0)</f>
        <v>0</v>
      </c>
    </row>
    <row r="34" spans="1:11" ht="15">
      <c r="A34" s="223" t="str">
        <f>'Sommaire exécutif'!A37</f>
        <v>Plastique TOTAL</v>
      </c>
      <c r="B34" s="223"/>
      <c r="C34" s="584"/>
      <c r="D34" s="78"/>
      <c r="E34" s="282"/>
      <c r="F34" s="79"/>
      <c r="G34" s="22">
        <f>SUBTOTAL(9,G23:G32)</f>
        <v>113350.00100000002</v>
      </c>
      <c r="H34" s="22">
        <f>SUBTOTAL(9,H23:H32)</f>
        <v>2725.7417249999999</v>
      </c>
      <c r="I34" s="22">
        <f>SUBTOTAL(9,I23:I32)</f>
        <v>110624.25927500002</v>
      </c>
      <c r="J34" s="459">
        <f>SUM(J23:J32)</f>
        <v>155591.61570856994</v>
      </c>
      <c r="K34" s="104">
        <f>IF(H34=0,0,J34/H34)</f>
        <v>57.082303243008084</v>
      </c>
    </row>
    <row r="35" spans="1:11">
      <c r="A35" s="228" t="str">
        <f>'Sommaire exécutif'!A38</f>
        <v>Aluminium</v>
      </c>
      <c r="B35" s="37" t="str">
        <f>INDEX(ListeMatières,25)</f>
        <v>Contenants pour aliments et breuvages en aluminium</v>
      </c>
      <c r="C35" s="581" t="s">
        <v>50</v>
      </c>
      <c r="D35" s="276">
        <f>TonnageCrédit</f>
        <v>0.15</v>
      </c>
      <c r="E35" s="385"/>
      <c r="F35" s="285">
        <f t="shared" ref="F35:F36" si="19">IF(C35 = $A$52,IF(E35="",D35,E35),0)</f>
        <v>0</v>
      </c>
      <c r="G35" s="135">
        <f>INDEX(tblMatières[Quantité déclarée (tonnes)],MATCH($B35,tblMatières[Matière],0))</f>
        <v>2854.9569999999999</v>
      </c>
      <c r="H35" s="135">
        <f t="shared" ref="H35:H36" si="20">IF(C35=$A$52,F35 * G35,0)</f>
        <v>0</v>
      </c>
      <c r="I35" s="135">
        <f>G35-H35</f>
        <v>2854.9569999999999</v>
      </c>
      <c r="J35" s="287">
        <f>K35*H35</f>
        <v>0</v>
      </c>
      <c r="K35" s="97">
        <f>IF(AND(C35=$A$52,H35&gt;0),RabaisCrédit *(Tarif!L40/(I35+H35*(1-RabaisCrédit))),0)</f>
        <v>0</v>
      </c>
    </row>
    <row r="36" spans="1:11">
      <c r="A36" s="228"/>
      <c r="B36" s="37" t="str">
        <f>INDEX(ListeMatières,26)</f>
        <v>Autres contenants et emballages en aluminium</v>
      </c>
      <c r="C36" s="581" t="s">
        <v>50</v>
      </c>
      <c r="D36" s="276">
        <f>TonnageCrédit</f>
        <v>0.15</v>
      </c>
      <c r="E36" s="385"/>
      <c r="F36" s="285">
        <f t="shared" si="19"/>
        <v>0</v>
      </c>
      <c r="G36" s="135">
        <f>INDEX(tblMatières[Quantité déclarée (tonnes)],MATCH($B36,tblMatières[Matière],0))</f>
        <v>4823.9380000000001</v>
      </c>
      <c r="H36" s="135">
        <f t="shared" si="20"/>
        <v>0</v>
      </c>
      <c r="I36" s="135">
        <f>G36-H36</f>
        <v>4823.9380000000001</v>
      </c>
      <c r="J36" s="287">
        <f>K36*H36</f>
        <v>0</v>
      </c>
      <c r="K36" s="97">
        <f>IF(AND(C36=$A$52,H36&gt;0),RabaisCrédit *(Tarif!L41/(I36+H36*(1-RabaisCrédit))),0)</f>
        <v>0</v>
      </c>
    </row>
    <row r="37" spans="1:11" ht="15">
      <c r="A37" s="223" t="str">
        <f>'Sommaire exécutif'!A40</f>
        <v>Aluminium TOTAL</v>
      </c>
      <c r="B37" s="223"/>
      <c r="C37" s="584"/>
      <c r="D37" s="78"/>
      <c r="E37" s="282"/>
      <c r="F37" s="79"/>
      <c r="G37" s="22">
        <f>SUBTOTAL(9,G35:G36)</f>
        <v>7678.8950000000004</v>
      </c>
      <c r="H37" s="22">
        <f t="shared" ref="H37:I37" si="21">SUBTOTAL(9,H35:H36)</f>
        <v>0</v>
      </c>
      <c r="I37" s="22">
        <f t="shared" si="21"/>
        <v>7678.8950000000004</v>
      </c>
      <c r="J37" s="290">
        <f>SUM(J35:J36)</f>
        <v>0</v>
      </c>
      <c r="K37" s="104">
        <f>IF(H37=0,0,J37/H37)</f>
        <v>0</v>
      </c>
    </row>
    <row r="38" spans="1:11">
      <c r="A38" s="228" t="str">
        <f>'Sommaire exécutif'!A41</f>
        <v>Acier</v>
      </c>
      <c r="B38" s="37" t="str">
        <f>INDEX(ListeMatières,27)</f>
        <v>Bombes aérosol en acier</v>
      </c>
      <c r="C38" s="581" t="s">
        <v>50</v>
      </c>
      <c r="D38" s="276">
        <f>TonnageCrédit</f>
        <v>0.15</v>
      </c>
      <c r="E38" s="385"/>
      <c r="F38" s="285">
        <f t="shared" ref="F38:F39" si="22">IF(C38 = $A$52,IF(E38="",D38,E38),0)</f>
        <v>0</v>
      </c>
      <c r="G38" s="135">
        <f>INDEX(tblMatières[Quantité déclarée (tonnes)],MATCH($B38,tblMatières[Matière],0))</f>
        <v>2430.7779999999998</v>
      </c>
      <c r="H38" s="135">
        <f t="shared" ref="H38:H39" si="23">IF(C38=$A$52,F38 * G38,0)</f>
        <v>0</v>
      </c>
      <c r="I38" s="135">
        <f>G38-H38</f>
        <v>2430.7779999999998</v>
      </c>
      <c r="J38" s="287">
        <f>K38*H38</f>
        <v>0</v>
      </c>
      <c r="K38" s="97">
        <f>IF(AND(C38=$A$52,H38&gt;0),RabaisCrédit *(Tarif!L43/(I38+H38*(1-RabaisCrédit))),0)</f>
        <v>0</v>
      </c>
    </row>
    <row r="39" spans="1:11">
      <c r="A39" s="228"/>
      <c r="B39" s="37" t="str">
        <f>INDEX(ListeMatières,28)</f>
        <v>Autres contenants en acier</v>
      </c>
      <c r="C39" s="581" t="s">
        <v>50</v>
      </c>
      <c r="D39" s="276">
        <f>TonnageCrédit</f>
        <v>0.15</v>
      </c>
      <c r="E39" s="385"/>
      <c r="F39" s="285">
        <f t="shared" si="22"/>
        <v>0</v>
      </c>
      <c r="G39" s="135">
        <f>INDEX(tblMatières[Quantité déclarée (tonnes)],MATCH($B39,tblMatières[Matière],0))</f>
        <v>23510.151000000002</v>
      </c>
      <c r="H39" s="135">
        <f t="shared" si="23"/>
        <v>0</v>
      </c>
      <c r="I39" s="135">
        <f>G39-H39</f>
        <v>23510.151000000002</v>
      </c>
      <c r="J39" s="287">
        <f>K39*H39</f>
        <v>0</v>
      </c>
      <c r="K39" s="97">
        <f>IF(AND(C39=$A$52,H39&gt;0),RabaisCrédit *(Tarif!L44/(I39+H39*(1-RabaisCrédit))),0)</f>
        <v>0</v>
      </c>
    </row>
    <row r="40" spans="1:11" ht="15">
      <c r="A40" s="223" t="str">
        <f>'Sommaire exécutif'!A43</f>
        <v>Acier TOTAL</v>
      </c>
      <c r="B40" s="223"/>
      <c r="C40" s="584"/>
      <c r="D40" s="78"/>
      <c r="E40" s="282"/>
      <c r="F40" s="79"/>
      <c r="G40" s="22">
        <f t="shared" ref="G40:I40" si="24">SUBTOTAL(9,G38:G39)</f>
        <v>25940.929</v>
      </c>
      <c r="H40" s="22">
        <f t="shared" si="24"/>
        <v>0</v>
      </c>
      <c r="I40" s="22">
        <f t="shared" si="24"/>
        <v>25940.929</v>
      </c>
      <c r="J40" s="290">
        <f>SUM(J38:J39)</f>
        <v>0</v>
      </c>
      <c r="K40" s="104">
        <f>IF(H40=0,0,J40/H40)</f>
        <v>0</v>
      </c>
    </row>
    <row r="41" spans="1:11">
      <c r="A41" s="228" t="str">
        <f>'Sommaire exécutif'!A44</f>
        <v>Verre</v>
      </c>
      <c r="B41" s="37" t="str">
        <f>INDEX(ListeMatières,29)</f>
        <v>Verre clair</v>
      </c>
      <c r="C41" s="581" t="s">
        <v>50</v>
      </c>
      <c r="D41" s="276">
        <f>TonnageCrédit</f>
        <v>0.15</v>
      </c>
      <c r="E41" s="385"/>
      <c r="F41" s="285">
        <f t="shared" ref="F41:F42" si="25">IF(C41 = $A$52,IF(E41="",D41,E41),0)</f>
        <v>0</v>
      </c>
      <c r="G41" s="135">
        <f>INDEX(tblMatières[Quantité déclarée (tonnes)],MATCH($B41,tblMatières[Matière],0))</f>
        <v>56442.516000000003</v>
      </c>
      <c r="H41" s="135">
        <f t="shared" ref="H41:H42" si="26">IF(C41=$A$52,F41 * G41,0)</f>
        <v>0</v>
      </c>
      <c r="I41" s="135">
        <f>G41-H41</f>
        <v>56442.516000000003</v>
      </c>
      <c r="J41" s="287">
        <f>K41*H41</f>
        <v>0</v>
      </c>
      <c r="K41" s="97">
        <f>IF(AND(C41=$A$52,H41&gt;0),RabaisCrédit *(Tarif!L46/(I41+H41*(1-RabaisCrédit))),0)</f>
        <v>0</v>
      </c>
    </row>
    <row r="42" spans="1:11">
      <c r="A42" s="228"/>
      <c r="B42" s="233" t="str">
        <f>INDEX(ListeMatières,30)</f>
        <v>Verre coloré</v>
      </c>
      <c r="C42" s="581" t="s">
        <v>50</v>
      </c>
      <c r="D42" s="276">
        <f>TonnageCrédit</f>
        <v>0.15</v>
      </c>
      <c r="E42" s="385"/>
      <c r="F42" s="285">
        <f t="shared" si="25"/>
        <v>0</v>
      </c>
      <c r="G42" s="135">
        <f>INDEX(tblMatières[Quantité déclarée (tonnes)],MATCH($B42,tblMatières[Matière],0))</f>
        <v>83245.164999999994</v>
      </c>
      <c r="H42" s="135">
        <f t="shared" si="26"/>
        <v>0</v>
      </c>
      <c r="I42" s="135">
        <f>G42-H42</f>
        <v>83245.164999999994</v>
      </c>
      <c r="J42" s="287">
        <f>K42*H42</f>
        <v>0</v>
      </c>
      <c r="K42" s="97">
        <f>IF(AND(C42=$A$52,H42&gt;0),RabaisCrédit *(Tarif!L47/(I42+H42*(1-RabaisCrédit))),0)</f>
        <v>0</v>
      </c>
    </row>
    <row r="43" spans="1:11" ht="15">
      <c r="A43" s="223" t="str">
        <f>'Sommaire exécutif'!A46</f>
        <v>Verre TOTAL</v>
      </c>
      <c r="B43" s="223"/>
      <c r="C43" s="10"/>
      <c r="D43" s="43"/>
      <c r="E43" s="81"/>
      <c r="F43" s="51"/>
      <c r="G43" s="22">
        <f t="shared" ref="G43:I43" si="27">SUBTOTAL(9,G41:G42)</f>
        <v>139687.68099999998</v>
      </c>
      <c r="H43" s="22">
        <f t="shared" si="27"/>
        <v>0</v>
      </c>
      <c r="I43" s="22">
        <f t="shared" si="27"/>
        <v>139687.68099999998</v>
      </c>
      <c r="J43" s="290">
        <f>SUM(J41:J42)</f>
        <v>0</v>
      </c>
      <c r="K43" s="104">
        <f>IF(H43=0,0,J43/H43)</f>
        <v>0</v>
      </c>
    </row>
    <row r="44" spans="1:11" ht="15.75" thickBot="1">
      <c r="A44" s="226" t="str">
        <f>'Sommaire exécutif'!A47</f>
        <v>CONTENANTS ET EMBALLAGES TOTAL</v>
      </c>
      <c r="B44" s="226"/>
      <c r="C44" s="23"/>
      <c r="D44" s="56"/>
      <c r="E44" s="173"/>
      <c r="F44" s="52"/>
      <c r="G44" s="219">
        <f>SUBTOTAL(9,G15:G43)</f>
        <v>501933.17799999984</v>
      </c>
      <c r="H44" s="219">
        <f>SUBTOTAL(9,H15:H43)</f>
        <v>2725.7417249999999</v>
      </c>
      <c r="I44" s="219">
        <f>SUBTOTAL(9,I15:I43)</f>
        <v>499207.43627499987</v>
      </c>
      <c r="J44" s="460">
        <f>J34+J37+J40+J43+J22</f>
        <v>155591.61570856994</v>
      </c>
      <c r="K44" s="229"/>
    </row>
    <row r="45" spans="1:11">
      <c r="A45" s="228"/>
      <c r="B45" s="228"/>
      <c r="C45" s="37"/>
      <c r="D45" s="38"/>
      <c r="E45" s="17"/>
      <c r="F45" s="39"/>
      <c r="G45" s="135"/>
      <c r="H45" s="135"/>
      <c r="I45" s="135"/>
      <c r="J45" s="295"/>
      <c r="K45" s="131"/>
    </row>
    <row r="46" spans="1:11" ht="15.75" thickBot="1">
      <c r="A46" s="524" t="str">
        <f>'Sommaire exécutif'!A49</f>
        <v>TOTAL</v>
      </c>
      <c r="B46" s="227"/>
      <c r="C46" s="15"/>
      <c r="D46" s="33"/>
      <c r="E46" s="174"/>
      <c r="F46" s="32"/>
      <c r="G46" s="210">
        <f>SUBTOTAL(9,G6:G44)</f>
        <v>642270.19699999993</v>
      </c>
      <c r="H46" s="210">
        <f t="shared" ref="H46:I46" si="28">SUBTOTAL(9,H6:H44)</f>
        <v>9742.5926749999999</v>
      </c>
      <c r="I46" s="210">
        <f t="shared" si="28"/>
        <v>632527.60432499985</v>
      </c>
      <c r="J46" s="461">
        <f>J44+J12</f>
        <v>485526.19078692421</v>
      </c>
      <c r="K46" s="132"/>
    </row>
    <row r="47" spans="1:11" ht="15" thickTop="1"/>
    <row r="52" spans="1:1">
      <c r="A52" s="222" t="s">
        <v>49</v>
      </c>
    </row>
  </sheetData>
  <mergeCells count="2">
    <mergeCell ref="D4:F4"/>
    <mergeCell ref="A3:K3"/>
  </mergeCells>
  <dataValidations count="1">
    <dataValidation type="list" allowBlank="1" showInputMessage="1" showErrorMessage="1" sqref="C6:C11 C15:C21 C41:C42 C35:C36 C38:C39 C23:C33">
      <formula1>"Oui,Non"</formula1>
    </dataValidation>
  </dataValidations>
  <pageMargins left="0.7" right="0.7" top="0.75" bottom="0.75" header="0.3" footer="0.3"/>
  <pageSetup scale="43" fitToHeight="0" orientation="landscape" r:id="rId1"/>
  <ignoredErrors>
    <ignoredError sqref="K22 K34 K37 K40 J40 J37 J34 J22" formula="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M197"/>
  <sheetViews>
    <sheetView showGridLines="0" tabSelected="1" zoomScale="80" zoomScaleNormal="80" zoomScaleSheetLayoutView="70" workbookViewId="0">
      <pane xSplit="3" ySplit="9" topLeftCell="D10" activePane="bottomRight" state="frozen"/>
      <selection activeCell="C18" sqref="C18"/>
      <selection pane="topRight" activeCell="C18" sqref="C18"/>
      <selection pane="bottomLeft" activeCell="C18" sqref="C18"/>
      <selection pane="bottomRight" activeCell="L39" sqref="L39"/>
    </sheetView>
  </sheetViews>
  <sheetFormatPr baseColWidth="10" defaultColWidth="9.140625" defaultRowHeight="14.25"/>
  <cols>
    <col min="1" max="1" width="2.5703125" style="37" customWidth="1"/>
    <col min="2" max="2" width="26.5703125" style="3" customWidth="1"/>
    <col min="3" max="3" width="64.5703125" style="3" bestFit="1" customWidth="1"/>
    <col min="4" max="4" width="19" style="3" bestFit="1" customWidth="1"/>
    <col min="5" max="5" width="21" style="3" bestFit="1" customWidth="1"/>
    <col min="6" max="6" width="19.140625" style="3" bestFit="1" customWidth="1"/>
    <col min="7" max="7" width="19.42578125" style="3" bestFit="1" customWidth="1"/>
    <col min="8" max="8" width="23" style="35" customWidth="1"/>
    <col min="9" max="9" width="16.42578125" style="35" customWidth="1"/>
    <col min="10" max="10" width="16.28515625" style="35" customWidth="1"/>
    <col min="11" max="11" width="16.5703125" style="35" customWidth="1"/>
    <col min="12" max="12" width="17.140625" style="35" bestFit="1" customWidth="1"/>
    <col min="13" max="13" width="18.5703125" style="35" bestFit="1" customWidth="1"/>
    <col min="14" max="16384" width="9.140625" style="37"/>
  </cols>
  <sheetData>
    <row r="1" spans="2:13" ht="6.75" customHeight="1">
      <c r="B1" s="35"/>
      <c r="C1" s="35"/>
      <c r="D1" s="35"/>
      <c r="E1" s="35"/>
      <c r="F1" s="35"/>
      <c r="G1" s="35"/>
    </row>
    <row r="2" spans="2:13" ht="18.75" thickBot="1">
      <c r="B2" s="462" t="s">
        <v>187</v>
      </c>
      <c r="C2" s="36"/>
      <c r="D2" s="36"/>
      <c r="E2" s="36"/>
      <c r="F2" s="36"/>
      <c r="G2" s="36"/>
      <c r="H2" s="36"/>
      <c r="I2" s="36"/>
      <c r="J2" s="36"/>
      <c r="K2" s="36"/>
      <c r="L2" s="36"/>
      <c r="M2" s="36"/>
    </row>
    <row r="3" spans="2:13" ht="10.5" customHeight="1" thickBot="1"/>
    <row r="4" spans="2:13" ht="18.75" thickBot="1">
      <c r="B4" s="83" t="str">
        <f>Paramètres!B4</f>
        <v>Tarif</v>
      </c>
      <c r="C4" s="236">
        <f>AnnéeTarif</f>
        <v>2019</v>
      </c>
      <c r="D4" s="35"/>
      <c r="E4" s="35"/>
      <c r="F4" s="35"/>
      <c r="G4" s="35"/>
    </row>
    <row r="5" spans="2:13" ht="18.75" thickBot="1">
      <c r="B5" s="83" t="str">
        <f>Paramètres!B5</f>
        <v>Version</v>
      </c>
      <c r="C5" s="236" t="str">
        <f>Paramètres!C5</f>
        <v>Projet de Tarif</v>
      </c>
      <c r="D5" s="35"/>
      <c r="E5" s="35"/>
      <c r="F5" s="35"/>
      <c r="G5" s="35"/>
    </row>
    <row r="6" spans="2:13" ht="18.75" thickBot="1">
      <c r="B6" s="83" t="str">
        <f>Paramètres!B6</f>
        <v>Année civile de référence</v>
      </c>
      <c r="C6" s="84">
        <f>AnnéeRéf</f>
        <v>2018</v>
      </c>
      <c r="D6" s="82"/>
      <c r="E6" s="82"/>
      <c r="F6" s="82"/>
      <c r="G6" s="35"/>
      <c r="M6" s="481"/>
    </row>
    <row r="7" spans="2:13" s="94" customFormat="1" ht="32.25" customHeight="1">
      <c r="D7" s="663" t="s">
        <v>188</v>
      </c>
      <c r="E7" s="623"/>
      <c r="F7" s="623"/>
      <c r="G7" s="624"/>
      <c r="H7" s="663" t="s">
        <v>127</v>
      </c>
      <c r="I7" s="623"/>
      <c r="J7" s="623"/>
      <c r="K7" s="623"/>
      <c r="L7" s="623"/>
      <c r="M7" s="483" t="s">
        <v>204</v>
      </c>
    </row>
    <row r="8" spans="2:13" ht="60" customHeight="1" thickBot="1">
      <c r="B8" s="42" t="str">
        <f>'Sommaire exécutif'!A7</f>
        <v>CATÉGORIE</v>
      </c>
      <c r="C8" s="9" t="str">
        <f>'Sommaire exécutif'!B7</f>
        <v>Matière</v>
      </c>
      <c r="D8" s="175" t="str">
        <f>'Sommaire exécutif'!D7</f>
        <v xml:space="preserve">Quantité générée
(tonnes) </v>
      </c>
      <c r="E8" s="159" t="str">
        <f>'Sommaire exécutif'!E7</f>
        <v xml:space="preserve">Quantité récupérée
(tonnes) </v>
      </c>
      <c r="F8" s="159" t="str">
        <f>'Sommaire exécutif'!F7</f>
        <v xml:space="preserve">Quantité éliminée
(tonnes) </v>
      </c>
      <c r="G8" s="251" t="str">
        <f>'Sommaire exécutif'!C7</f>
        <v>Quantité déclarée 
(tonnes)</v>
      </c>
      <c r="H8" s="159" t="s">
        <v>189</v>
      </c>
      <c r="I8" s="159" t="s">
        <v>81</v>
      </c>
      <c r="J8" s="159" t="s">
        <v>82</v>
      </c>
      <c r="K8" s="159" t="s">
        <v>83</v>
      </c>
      <c r="L8" s="270" t="s">
        <v>84</v>
      </c>
      <c r="M8" s="484" t="str">
        <f>'Sommaire exécutif'!I7</f>
        <v>Taux 2019
($/tonne)</v>
      </c>
    </row>
    <row r="9" spans="2:13" ht="15.75" thickBot="1">
      <c r="B9" s="89"/>
      <c r="C9" s="68" t="s">
        <v>46</v>
      </c>
      <c r="D9" s="69"/>
      <c r="E9" s="70"/>
      <c r="F9" s="70"/>
      <c r="G9" s="71"/>
      <c r="H9" s="70"/>
      <c r="I9" s="178">
        <f>Facteur1</f>
        <v>0.4</v>
      </c>
      <c r="J9" s="179">
        <f>Facteur2</f>
        <v>0.4</v>
      </c>
      <c r="K9" s="136">
        <f>Facteur3</f>
        <v>0.2</v>
      </c>
      <c r="L9" s="70"/>
      <c r="M9" s="72"/>
    </row>
    <row r="10" spans="2:13" ht="15" customHeight="1">
      <c r="B10" s="43" t="str">
        <f>'Sommaire exécutif'!A8</f>
        <v>IMPRIMÉS</v>
      </c>
      <c r="C10" s="11"/>
      <c r="D10" s="93"/>
      <c r="E10" s="75"/>
      <c r="F10" s="75"/>
      <c r="G10" s="92"/>
      <c r="H10" s="101"/>
      <c r="I10" s="75"/>
      <c r="J10" s="75"/>
      <c r="K10" s="176"/>
      <c r="L10" s="116"/>
      <c r="M10" s="485"/>
    </row>
    <row r="11" spans="2:13">
      <c r="B11" s="38"/>
      <c r="C11" s="505" t="str">
        <f>INDEX(ListeMatières,1)</f>
        <v>Encarts et circulaires imprimés sur du papier journal</v>
      </c>
      <c r="D11" s="506">
        <f>INDEX(tblMatières[Quantité générée (tonnes)],MATCH($C11,tblMatières[Matière],0))</f>
        <v>92875.491999999998</v>
      </c>
      <c r="E11" s="507">
        <f>INDEX(tblMatières[Quantité récupérée (tonnes)],MATCH($C11,tblMatières[Matière],0))</f>
        <v>79077.813804180056</v>
      </c>
      <c r="F11" s="507">
        <f t="shared" ref="F11:F16" si="0">D11-E11</f>
        <v>13797.678195819943</v>
      </c>
      <c r="G11" s="508">
        <f>INDEX(tblMatières[Quantité déclarée (tonnes)],MATCH($C11,tblMatières[Matière],0))</f>
        <v>92875.491999999998</v>
      </c>
      <c r="H11" s="509">
        <f>INDEX(tblMatières[Coût - Frais admin],MATCH($C11,tblMatières[Matière],0))</f>
        <v>848827.04866475263</v>
      </c>
      <c r="I11" s="509">
        <f>INDEX(tblMatières[Coût - Facteur 1],MATCH($C11,tblMatières[Matière],0))</f>
        <v>6210416.2752477694</v>
      </c>
      <c r="J11" s="510">
        <f>INDEX(tblMatières[Coût - Facteur 2],MATCH($C11,tblMatières[Matière],0))</f>
        <v>8732259.9303593449</v>
      </c>
      <c r="K11" s="511">
        <f>INDEX(tblMatières[Coût - Facteur 3],MATCH($C11,tblMatières[Matière],0))</f>
        <v>3017903.5278341179</v>
      </c>
      <c r="L11" s="512">
        <f t="shared" ref="L11:L12" si="1">SUM(H11:K11)</f>
        <v>18809406.782105986</v>
      </c>
      <c r="M11" s="513">
        <f>ROUND((L11 + 'Crédit contenu recyclé'!J6 + Paramètres!F46)/G11,2)</f>
        <v>204.57</v>
      </c>
    </row>
    <row r="12" spans="2:13">
      <c r="B12" s="250"/>
      <c r="C12" s="514" t="str">
        <f>INDEX(ListeMatières,2)</f>
        <v>Catalogues et publications</v>
      </c>
      <c r="D12" s="515">
        <f>INDEX(tblMatières[Quantité générée (tonnes)],MATCH($C12,tblMatières[Matière],0))</f>
        <v>11747.308000000001</v>
      </c>
      <c r="E12" s="516">
        <f>INDEX(tblMatières[Quantité récupérée (tonnes)],MATCH($C12,tblMatières[Matière],0))</f>
        <v>9684.3486270753401</v>
      </c>
      <c r="F12" s="516">
        <f t="shared" si="0"/>
        <v>2062.9593729246608</v>
      </c>
      <c r="G12" s="517">
        <f>INDEX(tblMatières[Quantité déclarée (tonnes)],MATCH($C12,tblMatières[Matière],0))</f>
        <v>11747.308000000001</v>
      </c>
      <c r="H12" s="660">
        <f>SUM('Frais de gestion &amp; RQ'!$G$11:$G$15)</f>
        <v>433770.27696964948</v>
      </c>
      <c r="I12" s="654">
        <f>SUM('Facteur 1'!$H$11:$H$15)</f>
        <v>6341953.9676012993</v>
      </c>
      <c r="J12" s="651">
        <f>SUM('Facteur 2'!$J$11:$J$15)</f>
        <v>3820110.3124897205</v>
      </c>
      <c r="K12" s="648">
        <f>SUM('Facteur 3'!$L$11:$L$15)</f>
        <v>3258281.593590416</v>
      </c>
      <c r="L12" s="645">
        <f t="shared" si="1"/>
        <v>13854116.150651086</v>
      </c>
      <c r="M12" s="518">
        <f>ROUND(($L$12 + SUM('Crédit contenu recyclé'!$J$7:$J$11) + SUM(Paramètres!$F$47:$F$51))/SUM($G$12:$G$16),2)</f>
        <v>294.85000000000002</v>
      </c>
    </row>
    <row r="13" spans="2:13">
      <c r="B13" s="250"/>
      <c r="C13" s="514" t="str">
        <f>INDEX(ListeMatières,3)</f>
        <v>Magazines</v>
      </c>
      <c r="D13" s="515">
        <f>INDEX(tblMatières[Quantité générée (tonnes)],MATCH($C13,tblMatières[Matière],0))</f>
        <v>6696.5619999999999</v>
      </c>
      <c r="E13" s="516">
        <f>INDEX(tblMatières[Quantité récupérée (tonnes)],MATCH($C13,tblMatières[Matière],0))</f>
        <v>5734.7024889441509</v>
      </c>
      <c r="F13" s="516">
        <f t="shared" si="0"/>
        <v>961.859511055849</v>
      </c>
      <c r="G13" s="517">
        <f>INDEX(tblMatières[Quantité déclarée (tonnes)],MATCH($C13,tblMatières[Matière],0))</f>
        <v>6696.5619999999999</v>
      </c>
      <c r="H13" s="660"/>
      <c r="I13" s="654"/>
      <c r="J13" s="651"/>
      <c r="K13" s="648"/>
      <c r="L13" s="645"/>
      <c r="M13" s="518">
        <f>ROUND(($L$12 + SUM('Crédit contenu recyclé'!$J$7:$J$11) + SUM(Paramètres!$F$47:$F$51))/SUM($G$12:$G$16),2)</f>
        <v>294.85000000000002</v>
      </c>
    </row>
    <row r="14" spans="2:13">
      <c r="B14" s="250"/>
      <c r="C14" s="514" t="str">
        <f>INDEX(ListeMatières,4)</f>
        <v>Annuaires téléphoniques</v>
      </c>
      <c r="D14" s="515">
        <f>INDEX(tblMatières[Quantité générée (tonnes)],MATCH($C14,tblMatières[Matière],0))</f>
        <v>587.05999999999995</v>
      </c>
      <c r="E14" s="516">
        <f>INDEX(tblMatières[Quantité récupérée (tonnes)],MATCH($C14,tblMatières[Matière],0))</f>
        <v>478.80496393624605</v>
      </c>
      <c r="F14" s="516">
        <f t="shared" si="0"/>
        <v>108.25503606375389</v>
      </c>
      <c r="G14" s="517">
        <f>INDEX(tblMatières[Quantité déclarée (tonnes)],MATCH($C14,tblMatières[Matière],0))</f>
        <v>587.05999999999995</v>
      </c>
      <c r="H14" s="660"/>
      <c r="I14" s="654"/>
      <c r="J14" s="651"/>
      <c r="K14" s="648"/>
      <c r="L14" s="645"/>
      <c r="M14" s="518">
        <f>ROUND(($L$12 + SUM('Crédit contenu recyclé'!$J$7:$J$11) + SUM(Paramètres!$F$47:$F$51))/SUM($G$12:$G$16),2)</f>
        <v>294.85000000000002</v>
      </c>
    </row>
    <row r="15" spans="2:13">
      <c r="B15" s="250"/>
      <c r="C15" s="514" t="str">
        <f>INDEX(ListeMatières,5)</f>
        <v>Papier à usage général</v>
      </c>
      <c r="D15" s="515">
        <f>INDEX(tblMatières[Quantité générée (tonnes)],MATCH($C15,tblMatières[Matière],0))</f>
        <v>4563.4139999999998</v>
      </c>
      <c r="E15" s="516">
        <f>INDEX(tblMatières[Quantité récupérée (tonnes)],MATCH($C15,tblMatières[Matière],0))</f>
        <v>2592.2165645758855</v>
      </c>
      <c r="F15" s="516">
        <f t="shared" si="0"/>
        <v>1971.1974354241142</v>
      </c>
      <c r="G15" s="517">
        <f>INDEX(tblMatières[Quantité déclarée (tonnes)],MATCH($C15,tblMatières[Matière],0))</f>
        <v>4563.4139999999998</v>
      </c>
      <c r="H15" s="660"/>
      <c r="I15" s="654"/>
      <c r="J15" s="651"/>
      <c r="K15" s="648"/>
      <c r="L15" s="645"/>
      <c r="M15" s="518">
        <f>ROUND(($L$12 + SUM('Crédit contenu recyclé'!$J$7:$J$11) + SUM(Paramètres!$F$47:$F$51))/SUM($G$12:$G$16),2)</f>
        <v>294.85000000000002</v>
      </c>
    </row>
    <row r="16" spans="2:13" ht="15" thickBot="1">
      <c r="B16" s="495"/>
      <c r="C16" s="496" t="str">
        <f>INDEX(ListeMatières,6)</f>
        <v>Autres imprimés</v>
      </c>
      <c r="D16" s="497">
        <f>INDEX(tblMatières[Quantité générée (tonnes)],MATCH($C16,tblMatières[Matière],0))</f>
        <v>23867.183000000001</v>
      </c>
      <c r="E16" s="498">
        <f>INDEX(tblMatières[Quantité récupérée (tonnes)],MATCH($C16,tblMatières[Matière],0))</f>
        <v>14881.538945703809</v>
      </c>
      <c r="F16" s="498">
        <f t="shared" si="0"/>
        <v>8985.6440542961918</v>
      </c>
      <c r="G16" s="499">
        <f>INDEX(tblMatières[Quantité déclarée (tonnes)],MATCH($C16,tblMatières[Matière],0))</f>
        <v>23867.183000000001</v>
      </c>
      <c r="H16" s="666"/>
      <c r="I16" s="667"/>
      <c r="J16" s="668"/>
      <c r="K16" s="665"/>
      <c r="L16" s="664"/>
      <c r="M16" s="500">
        <f>ROUND(($L$12 + SUM('Crédit contenu recyclé'!$J$7:$J$11) + SUM(Paramètres!$F$47:$F$51))/SUM($G$12:$G$16),2)</f>
        <v>294.85000000000002</v>
      </c>
    </row>
    <row r="17" spans="2:13" s="6" customFormat="1" ht="16.5" thickTop="1" thickBot="1">
      <c r="B17" s="56" t="str">
        <f>'Sommaire exécutif'!A15</f>
        <v>IMPRIMÉS TOTAL</v>
      </c>
      <c r="C17" s="23"/>
      <c r="D17" s="493">
        <f>SUBTOTAL(9,D11:D16)</f>
        <v>140337.019</v>
      </c>
      <c r="E17" s="219">
        <f t="shared" ref="E17:L17" si="2">SUBTOTAL(9,E11:E16)</f>
        <v>112449.42539441548</v>
      </c>
      <c r="F17" s="219">
        <f t="shared" si="2"/>
        <v>27887.593605584509</v>
      </c>
      <c r="G17" s="494">
        <f t="shared" si="2"/>
        <v>140337.019</v>
      </c>
      <c r="H17" s="457">
        <f t="shared" si="2"/>
        <v>1282597.3256344022</v>
      </c>
      <c r="I17" s="457">
        <f t="shared" si="2"/>
        <v>12552370.242849069</v>
      </c>
      <c r="J17" s="457">
        <f t="shared" si="2"/>
        <v>12552370.242849065</v>
      </c>
      <c r="K17" s="457">
        <f t="shared" si="2"/>
        <v>6276185.1214245334</v>
      </c>
      <c r="L17" s="457">
        <f t="shared" si="2"/>
        <v>32663522.932757072</v>
      </c>
      <c r="M17" s="492">
        <f>SUMPRODUCT($M$11:$M$16,$G$11:$G$16)/SUM($G$11:$G$16)</f>
        <v>235.10240469330475</v>
      </c>
    </row>
    <row r="18" spans="2:13" ht="6" customHeight="1">
      <c r="B18" s="38"/>
      <c r="D18" s="250"/>
      <c r="E18" s="35"/>
      <c r="F18" s="35"/>
      <c r="G18" s="39"/>
      <c r="H18" s="96"/>
      <c r="I18" s="230"/>
      <c r="J18" s="230"/>
      <c r="K18" s="220"/>
      <c r="L18" s="130"/>
      <c r="M18" s="487"/>
    </row>
    <row r="19" spans="2:13" ht="15">
      <c r="B19" s="43" t="str">
        <f>'Sommaire exécutif'!A17</f>
        <v>CONTENANTS ET EMBALLAGES</v>
      </c>
      <c r="C19" s="11"/>
      <c r="D19" s="34"/>
      <c r="E19" s="11"/>
      <c r="F19" s="11"/>
      <c r="G19" s="45"/>
      <c r="H19" s="100"/>
      <c r="I19" s="558"/>
      <c r="J19" s="558"/>
      <c r="K19" s="558"/>
      <c r="L19" s="559"/>
      <c r="M19" s="488"/>
    </row>
    <row r="20" spans="2:13" ht="15">
      <c r="B20" s="46" t="str">
        <f>'Sommaire exécutif'!A18</f>
        <v>Papier et carton</v>
      </c>
      <c r="C20" s="37" t="str">
        <f>INDEX(ListeMatières,7)</f>
        <v>Carton ondulé</v>
      </c>
      <c r="D20" s="58">
        <f>INDEX(tblMatières[Quantité générée (tonnes)],MATCH($C20,tblMatières[Matière],0))</f>
        <v>57058.644</v>
      </c>
      <c r="E20" s="26">
        <f>INDEX(tblMatières[Quantité récupérée (tonnes)],MATCH($C20,tblMatières[Matière],0))</f>
        <v>44212.244562092688</v>
      </c>
      <c r="F20" s="26">
        <f t="shared" ref="F20:F26" si="3">D20-E20</f>
        <v>12846.399437907312</v>
      </c>
      <c r="G20" s="135">
        <f>INDEX(tblMatières[Quantité déclarée (tonnes)],MATCH($C20,tblMatières[Matière],0))</f>
        <v>57058.644</v>
      </c>
      <c r="H20" s="657">
        <f>SUM('Frais de gestion &amp; RQ'!$G$19:$G$21)</f>
        <v>878831.55835118925</v>
      </c>
      <c r="I20" s="654">
        <f>SUM('Facteur 1'!$H$19:$H$21)</f>
        <v>3762536.6470233416</v>
      </c>
      <c r="J20" s="651">
        <f>SUM('Facteur 2'!$J$19:$J$21)</f>
        <v>5715960.0034470363</v>
      </c>
      <c r="K20" s="648">
        <f>SUM('Facteur 3'!$L$19:$L$21)</f>
        <v>1079836.3942860668</v>
      </c>
      <c r="L20" s="661">
        <f t="shared" ref="L20:L26" si="4">SUM(H20:K20)</f>
        <v>11437164.603107633</v>
      </c>
      <c r="M20" s="486">
        <f>ROUND(($L$20 + SUM('Crédit contenu recyclé'!$J$15:$J$17) + SUM(Paramètres!$F$52:$F$54))/SUM($G$20:$G$22),2)</f>
        <v>183.93</v>
      </c>
    </row>
    <row r="21" spans="2:13" ht="15">
      <c r="B21" s="46"/>
      <c r="C21" s="514" t="str">
        <f>INDEX(ListeMatières,8)</f>
        <v>Sacs de papier kraft</v>
      </c>
      <c r="D21" s="515">
        <f>INDEX(tblMatières[Quantité générée (tonnes)],MATCH($C21,tblMatières[Matière],0))</f>
        <v>3143.279</v>
      </c>
      <c r="E21" s="516">
        <f>INDEX(tblMatières[Quantité récupérée (tonnes)],MATCH($C21,tblMatières[Matière],0))</f>
        <v>1296.6666443451525</v>
      </c>
      <c r="F21" s="516">
        <f t="shared" si="3"/>
        <v>1846.6123556548475</v>
      </c>
      <c r="G21" s="516">
        <f>INDEX(tblMatières[Quantité déclarée (tonnes)],MATCH($C21,tblMatières[Matière],0))</f>
        <v>3143.279</v>
      </c>
      <c r="H21" s="657"/>
      <c r="I21" s="654"/>
      <c r="J21" s="651"/>
      <c r="K21" s="648"/>
      <c r="L21" s="661"/>
      <c r="M21" s="518">
        <f>ROUND(($L$20 + SUM('Crédit contenu recyclé'!$J$15:$J$17) + SUM(Paramètres!$F$52:$F$54))/SUM($G$20:$G$22),2)</f>
        <v>183.93</v>
      </c>
    </row>
    <row r="22" spans="2:13" ht="15">
      <c r="B22" s="46"/>
      <c r="C22" s="514" t="str">
        <f>INDEX(ListeMatières,9)</f>
        <v>Emballages de papier kraft</v>
      </c>
      <c r="D22" s="515">
        <f>INDEX(tblMatières[Quantité générée (tonnes)],MATCH($C22,tblMatières[Matière],0))</f>
        <v>1981.269</v>
      </c>
      <c r="E22" s="516">
        <f>INDEX(tblMatières[Quantité récupérée (tonnes)],MATCH($C22,tblMatières[Matière],0))</f>
        <v>459.17324899062658</v>
      </c>
      <c r="F22" s="516">
        <f t="shared" si="3"/>
        <v>1522.0957510093735</v>
      </c>
      <c r="G22" s="516">
        <f>INDEX(tblMatières[Quantité déclarée (tonnes)],MATCH($C22,tblMatières[Matière],0))</f>
        <v>1981.269</v>
      </c>
      <c r="H22" s="658"/>
      <c r="I22" s="655"/>
      <c r="J22" s="652"/>
      <c r="K22" s="649"/>
      <c r="L22" s="662"/>
      <c r="M22" s="518">
        <f>ROUND(($L$20 + SUM('Crédit contenu recyclé'!$J$15:$J$17) + SUM(Paramètres!$F$52:$F$54))/SUM($G$20:$G$22),2)</f>
        <v>183.93</v>
      </c>
    </row>
    <row r="23" spans="2:13" ht="15">
      <c r="B23" s="46"/>
      <c r="C23" s="514" t="str">
        <f>INDEX(ListeMatières,10)</f>
        <v>Carton plat et autres emballages de papier</v>
      </c>
      <c r="D23" s="515">
        <f>INDEX(tblMatières[Quantité générée (tonnes)],MATCH($C23,tblMatières[Matière],0))</f>
        <v>89357.737999999998</v>
      </c>
      <c r="E23" s="516">
        <f>INDEX(tblMatières[Quantité récupérée (tonnes)],MATCH($C23,tblMatières[Matière],0))</f>
        <v>55290.317194879237</v>
      </c>
      <c r="F23" s="516">
        <f t="shared" si="3"/>
        <v>34067.420805120761</v>
      </c>
      <c r="G23" s="517">
        <f>INDEX(tblMatières[Quantité déclarée (tonnes)],MATCH($C23,tblMatières[Matière],0))</f>
        <v>89357.737999999998</v>
      </c>
      <c r="H23" s="519">
        <f>INDEX(tblMatières[Coût - Frais admin],MATCH($C23,tblMatières[Matière],0))</f>
        <v>1262887.8899828312</v>
      </c>
      <c r="I23" s="520">
        <f>INDEX(tblMatières[Coût - Facteur 1],MATCH($C23,tblMatières[Matière],0))</f>
        <v>7904968.8012549849</v>
      </c>
      <c r="J23" s="521">
        <f>INDEX(tblMatières[Coût - Facteur 2],MATCH($C23,tblMatières[Matière],0))</f>
        <v>6643822.3178219469</v>
      </c>
      <c r="K23" s="522">
        <f>INDEX(tblMatières[Coût - Facteur 3],MATCH($C23,tblMatières[Matière],0))</f>
        <v>2192368.4081235179</v>
      </c>
      <c r="L23" s="523">
        <f t="shared" si="4"/>
        <v>18004047.417183284</v>
      </c>
      <c r="M23" s="518">
        <f>ROUND((L23 + 'Crédit contenu recyclé'!J18 + Paramètres!F55)/G23,2)</f>
        <v>201.48</v>
      </c>
    </row>
    <row r="24" spans="2:13" ht="15">
      <c r="B24" s="46"/>
      <c r="C24" s="514" t="str">
        <f>INDEX(ListeMatières,11)</f>
        <v>Contenants à pignon</v>
      </c>
      <c r="D24" s="515">
        <f>INDEX(tblMatières[Quantité générée (tonnes)],MATCH($C24,tblMatières[Matière],0))</f>
        <v>10642.311</v>
      </c>
      <c r="E24" s="516">
        <f>INDEX(tblMatières[Quantité récupérée (tonnes)],MATCH($C24,tblMatières[Matière],0))</f>
        <v>8288.6371859637784</v>
      </c>
      <c r="F24" s="516">
        <f t="shared" si="3"/>
        <v>2353.6738140362213</v>
      </c>
      <c r="G24" s="517">
        <f>INDEX(tblMatières[Quantité déclarée (tonnes)],MATCH($C24,tblMatières[Matière],0))</f>
        <v>10642.311</v>
      </c>
      <c r="H24" s="519">
        <f>INDEX(tblMatières[Coût - Frais admin],MATCH($C24,tblMatières[Matière],0))</f>
        <v>150407.18335250468</v>
      </c>
      <c r="I24" s="520">
        <f>INDEX(tblMatières[Coût - Facteur 1],MATCH($C24,tblMatières[Matière],0))</f>
        <v>546144.01761493157</v>
      </c>
      <c r="J24" s="521">
        <f>INDEX(tblMatières[Coût - Facteur 2],MATCH($C24,tblMatières[Matière],0))</f>
        <v>1166231.3720701886</v>
      </c>
      <c r="K24" s="522">
        <f>INDEX(tblMatières[Coût - Facteur 3],MATCH($C24,tblMatières[Matière],0))</f>
        <v>177358.99457880936</v>
      </c>
      <c r="L24" s="523">
        <f t="shared" si="4"/>
        <v>2040141.5676164343</v>
      </c>
      <c r="M24" s="518">
        <f>ROUND((L24 + 'Crédit contenu recyclé'!J19 + Paramètres!F56)/G24,2)</f>
        <v>191.7</v>
      </c>
    </row>
    <row r="25" spans="2:13" ht="15">
      <c r="B25" s="46"/>
      <c r="C25" s="514" t="str">
        <f>INDEX(ListeMatières,12)</f>
        <v>Laminés de papier</v>
      </c>
      <c r="D25" s="515">
        <f>INDEX(tblMatières[Quantité générée (tonnes)],MATCH($C25,tblMatières[Matière],0))</f>
        <v>13221.805</v>
      </c>
      <c r="E25" s="516">
        <f>INDEX(tblMatières[Quantité récupérée (tonnes)],MATCH($C25,tblMatières[Matière],0))</f>
        <v>4420.5794650618791</v>
      </c>
      <c r="F25" s="516">
        <f t="shared" si="3"/>
        <v>8801.2255349381212</v>
      </c>
      <c r="G25" s="517">
        <f>INDEX(tblMatières[Quantité déclarée (tonnes)],MATCH($C25,tblMatières[Matière],0))</f>
        <v>13221.805</v>
      </c>
      <c r="H25" s="519">
        <f>INDEX(tblMatières[Coût - Frais admin],MATCH($C25,tblMatières[Matière],0))</f>
        <v>186863.0271081219</v>
      </c>
      <c r="I25" s="520">
        <f>INDEX(tblMatières[Coût - Facteur 1],MATCH($C25,tblMatières[Matière],0))</f>
        <v>2042227.1960205692</v>
      </c>
      <c r="J25" s="521">
        <f>INDEX(tblMatières[Coût - Facteur 2],MATCH($C25,tblMatières[Matière],0))</f>
        <v>766111.08902297658</v>
      </c>
      <c r="K25" s="522">
        <f>INDEX(tblMatières[Coût - Facteur 3],MATCH($C25,tblMatières[Matière],0))</f>
        <v>816885.24049692438</v>
      </c>
      <c r="L25" s="523">
        <f t="shared" si="4"/>
        <v>3812086.5526485918</v>
      </c>
      <c r="M25" s="518">
        <f>ROUND((L25 + 'Crédit contenu recyclé'!J20 + Paramètres!F57)/G25,2)</f>
        <v>288.32</v>
      </c>
    </row>
    <row r="26" spans="2:13" ht="15">
      <c r="B26" s="46"/>
      <c r="C26" s="37" t="str">
        <f>INDEX(ListeMatières,13)</f>
        <v>Contenants aseptiques</v>
      </c>
      <c r="D26" s="58">
        <f>INDEX(tblMatières[Quantité générée (tonnes)],MATCH($C26,tblMatières[Matière],0))</f>
        <v>5960.89</v>
      </c>
      <c r="E26" s="26">
        <f>INDEX(tblMatières[Quantité récupérée (tonnes)],MATCH($C26,tblMatières[Matière],0))</f>
        <v>3275.4908245800875</v>
      </c>
      <c r="F26" s="26">
        <f t="shared" si="3"/>
        <v>2685.3991754199128</v>
      </c>
      <c r="G26" s="48">
        <f>INDEX(tblMatières[Quantité déclarée (tonnes)],MATCH($C26,tblMatières[Matière],0))</f>
        <v>5960.89</v>
      </c>
      <c r="H26" s="452">
        <f>INDEX(tblMatières[Coût - Frais admin],MATCH($C26,tblMatières[Matière],0))</f>
        <v>84244.923416926264</v>
      </c>
      <c r="I26" s="449">
        <f>INDEX(tblMatières[Coût - Facteur 1],MATCH($C26,tblMatières[Matière],0))</f>
        <v>623117.22457778314</v>
      </c>
      <c r="J26" s="450">
        <f>INDEX(tblMatières[Coût - Facteur 2],MATCH($C26,tblMatières[Matière],0))</f>
        <v>482345.03172149078</v>
      </c>
      <c r="K26" s="451">
        <f>INDEX(tblMatières[Coût - Facteur 3],MATCH($C26,tblMatières[Matière],0))</f>
        <v>211785.20911936346</v>
      </c>
      <c r="L26" s="455">
        <f t="shared" si="4"/>
        <v>1401492.3888355636</v>
      </c>
      <c r="M26" s="486">
        <f>ROUND((L26 + 'Crédit contenu recyclé'!J21 + Paramètres!F58)/G26,2)</f>
        <v>235.11</v>
      </c>
    </row>
    <row r="27" spans="2:13" s="6" customFormat="1" ht="15">
      <c r="B27" s="43" t="str">
        <f>'Sommaire exécutif'!A25</f>
        <v>Papier et carton TOTAL</v>
      </c>
      <c r="C27" s="10"/>
      <c r="D27" s="60">
        <f>SUBTOTAL(9,D20:D26)</f>
        <v>181365.93599999999</v>
      </c>
      <c r="E27" s="22">
        <f t="shared" ref="E27:L27" si="5">SUBTOTAL(9,E20:E26)</f>
        <v>117243.10912591344</v>
      </c>
      <c r="F27" s="22">
        <f t="shared" si="5"/>
        <v>64122.826874086553</v>
      </c>
      <c r="G27" s="29">
        <f t="shared" si="5"/>
        <v>181365.93599999999</v>
      </c>
      <c r="H27" s="456">
        <f t="shared" si="5"/>
        <v>2563234.5822115731</v>
      </c>
      <c r="I27" s="456">
        <f t="shared" si="5"/>
        <v>14878993.88649161</v>
      </c>
      <c r="J27" s="456">
        <f t="shared" si="5"/>
        <v>14774469.814083641</v>
      </c>
      <c r="K27" s="456">
        <f t="shared" si="5"/>
        <v>4478234.2466046819</v>
      </c>
      <c r="L27" s="456">
        <f t="shared" si="5"/>
        <v>36694932.529391505</v>
      </c>
      <c r="M27" s="491">
        <f>SUMPRODUCT(M20:M26,G20:G26)/SUM(G20:G26)</f>
        <v>202.32497375361604</v>
      </c>
    </row>
    <row r="28" spans="2:13" ht="15">
      <c r="B28" s="46" t="str">
        <f>'Sommaire exécutif'!A26</f>
        <v>Plastique</v>
      </c>
      <c r="C28" s="37" t="str">
        <f>INDEX(ListeMatières,14)</f>
        <v>Bouteilles PET</v>
      </c>
      <c r="D28" s="58">
        <f>INDEX(tblMatières[Quantité générée (tonnes)],MATCH($C28,tblMatières[Matière],0))</f>
        <v>28454.071</v>
      </c>
      <c r="E28" s="26">
        <f>INDEX(tblMatières[Quantité récupérée (tonnes)],MATCH($C28,tblMatières[Matière],0))</f>
        <v>19296.023522834832</v>
      </c>
      <c r="F28" s="26">
        <f t="shared" ref="F28:F38" si="6">D28-E28</f>
        <v>9158.0474771651679</v>
      </c>
      <c r="G28" s="48">
        <f>INDEX(tblMatières[Quantité déclarée (tonnes)],MATCH($C28,tblMatières[Matière],0))</f>
        <v>28454.071</v>
      </c>
      <c r="H28" s="452">
        <f>'Frais de gestion &amp; RQ'!G27+'Frais de gestion &amp; RQ'!G35</f>
        <v>1058490.9205772863</v>
      </c>
      <c r="I28" s="449">
        <f>'Facteur 1'!H27+'Facteur 1'!H35</f>
        <v>2907422.7993768011</v>
      </c>
      <c r="J28" s="450">
        <f>'Facteur 2'!J27+'Facteur 2'!J35</f>
        <v>4850016.7380114617</v>
      </c>
      <c r="K28" s="451">
        <f>'Facteur 3'!L27+'Facteur 3'!L35</f>
        <v>1401252.30689721</v>
      </c>
      <c r="L28" s="453">
        <f t="shared" ref="L28:L38" si="7">SUM(H28:K28)</f>
        <v>10217182.764862759</v>
      </c>
      <c r="M28" s="486">
        <f>ROUND((L28 + 'Crédit contenu recyclé'!J23 + 'Crédit contenu recyclé'!J31 + Paramètres!$F$59 + Paramètres!$F$67)/(G28 + G36),2)</f>
        <v>285.41000000000003</v>
      </c>
    </row>
    <row r="29" spans="2:13">
      <c r="B29" s="38"/>
      <c r="C29" s="37" t="str">
        <f>INDEX(ListeMatières,15)</f>
        <v>Bouteilles HDPE</v>
      </c>
      <c r="D29" s="515">
        <f>INDEX(tblMatières[Quantité générée (tonnes)],MATCH($C29,tblMatières[Matière],0))</f>
        <v>19105.120999999999</v>
      </c>
      <c r="E29" s="516">
        <f>INDEX(tblMatières[Quantité récupérée (tonnes)],MATCH($C29,tblMatières[Matière],0))</f>
        <v>12997.599355643866</v>
      </c>
      <c r="F29" s="516">
        <f t="shared" si="6"/>
        <v>6107.521644356133</v>
      </c>
      <c r="G29" s="517">
        <f>INDEX(tblMatières[Quantité déclarée (tonnes)],MATCH($C29,tblMatières[Matière],0))</f>
        <v>19105.120999999999</v>
      </c>
      <c r="H29" s="519">
        <f>INDEX(tblMatières[Coût - Frais admin],MATCH($C29,tblMatières[Matière],0))</f>
        <v>556433.78450586088</v>
      </c>
      <c r="I29" s="520">
        <f>INDEX(tblMatières[Coût - Facteur 1],MATCH($C29,tblMatières[Matière],0))</f>
        <v>1417182.9539959691</v>
      </c>
      <c r="J29" s="521">
        <f>INDEX(tblMatières[Coût - Facteur 2],MATCH($C29,tblMatières[Matière],0))</f>
        <v>99585.228914113221</v>
      </c>
      <c r="K29" s="522">
        <f>INDEX(tblMatières[Coût - Facteur 3],MATCH($C29,tblMatières[Matière],0))</f>
        <v>25061.216445089227</v>
      </c>
      <c r="L29" s="523">
        <f t="shared" si="7"/>
        <v>2098263.1838610326</v>
      </c>
      <c r="M29" s="518">
        <f>ROUND((L29 + 'Crédit contenu recyclé'!J24 + Paramètres!F60)/G29,2)</f>
        <v>109.83</v>
      </c>
    </row>
    <row r="30" spans="2:13">
      <c r="B30" s="38"/>
      <c r="C30" s="37" t="str">
        <f>INDEX(ListeMatières,16)</f>
        <v>Plastiques stratifiés</v>
      </c>
      <c r="D30" s="515">
        <f>INDEX(tblMatières[Quantité générée (tonnes)],MATCH($C30,tblMatières[Matière],0))</f>
        <v>18345.511999999999</v>
      </c>
      <c r="E30" s="516">
        <f>INDEX(tblMatières[Quantité récupérée (tonnes)],MATCH($C30,tblMatières[Matière],0))</f>
        <v>2963.9007205395051</v>
      </c>
      <c r="F30" s="516">
        <f t="shared" si="6"/>
        <v>15381.611279460494</v>
      </c>
      <c r="G30" s="517">
        <f>INDEX(tblMatières[Quantité déclarée (tonnes)],MATCH($C30,tblMatières[Matière],0))</f>
        <v>18345.511999999999</v>
      </c>
      <c r="H30" s="660">
        <f>SUM('Frais de gestion &amp; RQ'!G29:G31)</f>
        <v>1390851.6809005467</v>
      </c>
      <c r="I30" s="654">
        <f>SUM('Facteur 1'!H29:H31)</f>
        <v>8407968.5024638344</v>
      </c>
      <c r="J30" s="659">
        <f>SUM('Facteur 2'!J29:J31)</f>
        <v>4751141.8093267782</v>
      </c>
      <c r="K30" s="648">
        <f>SUM('Facteur 3'!L29:L31)</f>
        <v>8101600.0786129907</v>
      </c>
      <c r="L30" s="645">
        <f t="shared" si="7"/>
        <v>22651562.07130415</v>
      </c>
      <c r="M30" s="518">
        <f>ROUND((L30 + SUM('Crédit contenu recyclé'!J25:J27) + SUM(Paramètres!$F$61:$F$63))/SUM(Tarif!G30:G32),2)</f>
        <v>474.33</v>
      </c>
    </row>
    <row r="31" spans="2:13">
      <c r="B31" s="38"/>
      <c r="C31" s="37" t="str">
        <f>INDEX(ListeMatières,17)</f>
        <v>Pellicules HDPE et LDPE</v>
      </c>
      <c r="D31" s="515">
        <f>INDEX(tblMatières[Quantité générée (tonnes)],MATCH($C31,tblMatières[Matière],0))</f>
        <v>20600.752</v>
      </c>
      <c r="E31" s="516">
        <f>INDEX(tblMatières[Quantité récupérée (tonnes)],MATCH($C31,tblMatières[Matière],0))</f>
        <v>7167.664015781269</v>
      </c>
      <c r="F31" s="516">
        <f t="shared" si="6"/>
        <v>13433.087984218731</v>
      </c>
      <c r="G31" s="517">
        <f>INDEX(tblMatières[Quantité déclarée (tonnes)],MATCH($C31,tblMatières[Matière],0))</f>
        <v>20600.752</v>
      </c>
      <c r="H31" s="660"/>
      <c r="I31" s="654"/>
      <c r="J31" s="659"/>
      <c r="K31" s="648"/>
      <c r="L31" s="645"/>
      <c r="M31" s="518">
        <f>ROUND((L30 + SUM('Crédit contenu recyclé'!J25:J27) + SUM(Paramètres!$F$61:$F$63))/SUM(Tarif!G30:G32),2)</f>
        <v>474.33</v>
      </c>
    </row>
    <row r="32" spans="2:13">
      <c r="B32" s="38"/>
      <c r="C32" s="37" t="str">
        <f>INDEX(ListeMatières,18)</f>
        <v>Sacs d'emplettes de pellicules HDPE et LDPE</v>
      </c>
      <c r="D32" s="515">
        <f>INDEX(tblMatières[Quantité générée (tonnes)],MATCH($C32,tblMatières[Matière],0))</f>
        <v>8808.5460000000003</v>
      </c>
      <c r="E32" s="516">
        <f>INDEX(tblMatières[Quantité récupérée (tonnes)],MATCH($C32,tblMatières[Matière],0))</f>
        <v>1388.0863033855567</v>
      </c>
      <c r="F32" s="516">
        <f t="shared" si="6"/>
        <v>7420.4596966144436</v>
      </c>
      <c r="G32" s="517">
        <f>INDEX(tblMatières[Quantité déclarée (tonnes)],MATCH($C32,tblMatières[Matière],0))</f>
        <v>8808.5460000000003</v>
      </c>
      <c r="H32" s="660"/>
      <c r="I32" s="654"/>
      <c r="J32" s="659"/>
      <c r="K32" s="648"/>
      <c r="L32" s="645"/>
      <c r="M32" s="518">
        <f>ROUND((L30 + SUM('Crédit contenu recyclé'!J25:J27) + SUM(Paramètres!$F$61:$F$63))/SUM(Tarif!G30:G32),2)</f>
        <v>474.33</v>
      </c>
    </row>
    <row r="33" spans="2:13">
      <c r="B33" s="38"/>
      <c r="C33" s="37" t="str">
        <f>INDEX(ListeMatières,19)</f>
        <v>Polystyrène expansé alimentaire</v>
      </c>
      <c r="D33" s="515">
        <f>INDEX(tblMatières[Quantité générée (tonnes)],MATCH($C33,tblMatières[Matière],0))</f>
        <v>3577.489</v>
      </c>
      <c r="E33" s="516">
        <f>INDEX(tblMatières[Quantité récupérée (tonnes)],MATCH($C33,tblMatières[Matière],0))</f>
        <v>412.94510310858072</v>
      </c>
      <c r="F33" s="516">
        <f t="shared" si="6"/>
        <v>3164.5438968914195</v>
      </c>
      <c r="G33" s="517">
        <f>INDEX(tblMatières[Quantité déclarée (tonnes)],MATCH($C33,tblMatières[Matière],0))</f>
        <v>3577.489</v>
      </c>
      <c r="H33" s="656">
        <f>SUM('Frais de gestion &amp; RQ'!G32:G34) + 'Frais de gestion &amp; RQ'!G36</f>
        <v>295525.39745819679</v>
      </c>
      <c r="I33" s="653">
        <f>SUM('Facteur 1'!H32:H34) + 'Facteur 1'!H36</f>
        <v>1797035.4608782725</v>
      </c>
      <c r="J33" s="650">
        <f>SUM('Facteur 2'!J32:J34)+'Facteur 2'!J36</f>
        <v>1957733.6380622685</v>
      </c>
      <c r="K33" s="647">
        <f>SUM('Facteur 3'!L32:L34) +'Facteur 3'!L36</f>
        <v>4000552.4656632529</v>
      </c>
      <c r="L33" s="644">
        <f t="shared" ref="L33" si="8">SUM(H33:K33)</f>
        <v>8050846.9620619901</v>
      </c>
      <c r="M33" s="518">
        <f>ROUND((L33 + SUM('Crédit contenu recyclé'!J28:J30) + 'Crédit contenu recyclé'!J32 + SUM(Paramètres!$F$64:$F$66) + Paramètres!$F$68)/(SUM(Tarif!G33:G35) + G37 ),2)</f>
        <v>793.43</v>
      </c>
    </row>
    <row r="34" spans="2:13">
      <c r="B34" s="250"/>
      <c r="C34" s="37" t="str">
        <f>INDEX(ListeMatières,20)</f>
        <v>Polystyrène expansé de protection</v>
      </c>
      <c r="D34" s="515">
        <f>INDEX(tblMatières[Quantité générée (tonnes)],MATCH($C34,tblMatières[Matière],0))</f>
        <v>1653.914</v>
      </c>
      <c r="E34" s="516">
        <f>INDEX(tblMatières[Quantité récupérée (tonnes)],MATCH($C34,tblMatières[Matière],0))</f>
        <v>620.3989827377784</v>
      </c>
      <c r="F34" s="516">
        <f>D34-E34</f>
        <v>1033.5150172622216</v>
      </c>
      <c r="G34" s="517">
        <f>INDEX(tblMatières[Quantité déclarée (tonnes)],MATCH($C34,tblMatières[Matière],0))</f>
        <v>1653.914</v>
      </c>
      <c r="H34" s="657"/>
      <c r="I34" s="654"/>
      <c r="J34" s="651"/>
      <c r="K34" s="648"/>
      <c r="L34" s="645"/>
      <c r="M34" s="518">
        <f>M33</f>
        <v>793.43</v>
      </c>
    </row>
    <row r="35" spans="2:13">
      <c r="B35" s="38"/>
      <c r="C35" s="37" t="str">
        <f>INDEX(ListeMatières,21)</f>
        <v>Polystyrène non expansé</v>
      </c>
      <c r="D35" s="515">
        <f>INDEX(tblMatières[Quantité générée (tonnes)],MATCH($C35,tblMatières[Matière],0))</f>
        <v>4424.2470000000003</v>
      </c>
      <c r="E35" s="516">
        <f>INDEX(tblMatières[Quantité récupérée (tonnes)],MATCH($C35,tblMatières[Matière],0))</f>
        <v>1100.7673069345703</v>
      </c>
      <c r="F35" s="516">
        <f t="shared" si="6"/>
        <v>3323.4796930654302</v>
      </c>
      <c r="G35" s="517">
        <f>INDEX(tblMatières[Quantité déclarée (tonnes)],MATCH($C35,tblMatières[Matière],0))</f>
        <v>4424.2470000000003</v>
      </c>
      <c r="H35" s="658"/>
      <c r="I35" s="655"/>
      <c r="J35" s="652"/>
      <c r="K35" s="649"/>
      <c r="L35" s="646"/>
      <c r="M35" s="518">
        <f>M33</f>
        <v>793.43</v>
      </c>
    </row>
    <row r="36" spans="2:13">
      <c r="B36" s="38"/>
      <c r="C36" s="37" t="str">
        <f>INDEX(ListeMatières,22)</f>
        <v>Contenants de PET</v>
      </c>
      <c r="D36" s="515">
        <f>INDEX(tblMatières[Quantité générée (tonnes)],MATCH($C36,tblMatières[Matière],0))</f>
        <v>7889.152</v>
      </c>
      <c r="E36" s="516">
        <f>INDEX(tblMatières[Quantité récupérée (tonnes)],MATCH($C36,tblMatières[Matière],0))</f>
        <v>4517.3086635484415</v>
      </c>
      <c r="F36" s="516">
        <f t="shared" si="6"/>
        <v>3371.8433364515586</v>
      </c>
      <c r="G36" s="517">
        <f>INDEX(tblMatières[Quantité déclarée (tonnes)],MATCH($C36,tblMatières[Matière],0))</f>
        <v>7889.152</v>
      </c>
      <c r="H36" s="630" t="s">
        <v>206</v>
      </c>
      <c r="I36" s="631"/>
      <c r="J36" s="631"/>
      <c r="K36" s="631"/>
      <c r="L36" s="631"/>
      <c r="M36" s="486">
        <f>M28</f>
        <v>285.41000000000003</v>
      </c>
    </row>
    <row r="37" spans="2:13">
      <c r="B37" s="38"/>
      <c r="C37" s="37" t="str">
        <f>INDEX(ListeMatières,23)</f>
        <v>PVC, acide polylactique (PLA) et autres plastiques dégradables</v>
      </c>
      <c r="D37" s="515">
        <f>INDEX(tblMatières[Quantité générée (tonnes)],MATCH($C37,tblMatières[Matière],0))</f>
        <v>491.197</v>
      </c>
      <c r="E37" s="516">
        <f>INDEX(tblMatières[Quantité récupérée (tonnes)],MATCH($C37,tblMatières[Matière],0))</f>
        <v>268.19356200000004</v>
      </c>
      <c r="F37" s="516">
        <f t="shared" si="6"/>
        <v>223.00343799999996</v>
      </c>
      <c r="G37" s="517">
        <f>INDEX(tblMatières[Quantité déclarée (tonnes)],MATCH($C37,tblMatières[Matière],0))</f>
        <v>491.197</v>
      </c>
      <c r="H37" s="632" t="s">
        <v>205</v>
      </c>
      <c r="I37" s="633"/>
      <c r="J37" s="633"/>
      <c r="K37" s="633"/>
      <c r="L37" s="633"/>
      <c r="M37" s="518">
        <f>M33</f>
        <v>793.43</v>
      </c>
    </row>
    <row r="38" spans="2:13">
      <c r="B38" s="38"/>
      <c r="C38" s="37" t="str">
        <f>INDEX(ListeMatières,24)</f>
        <v>Autres plastiques, polymères et polyuréthanne</v>
      </c>
      <c r="D38" s="58">
        <f>INDEX(tblMatières[Quantité générée (tonnes)],MATCH($C38,tblMatières[Matière],0))</f>
        <v>33909.735999999997</v>
      </c>
      <c r="E38" s="26">
        <f>INDEX(tblMatières[Quantité récupérée (tonnes)],MATCH($C38,tblMatières[Matière],0))</f>
        <v>14808.56401630154</v>
      </c>
      <c r="F38" s="26">
        <f t="shared" si="6"/>
        <v>19101.171983698456</v>
      </c>
      <c r="G38" s="48">
        <f>INDEX(tblMatières[Quantité déclarée (tonnes)],MATCH($C38,tblMatières[Matière],0))</f>
        <v>33909.735999999997</v>
      </c>
      <c r="H38" s="519">
        <f>INDEX(tblMatières[Coût - Frais admin],MATCH($C38,tblMatières[Matière],0))</f>
        <v>987615.9765789829</v>
      </c>
      <c r="I38" s="520">
        <f>INDEX(tblMatières[Coût - Facteur 1],MATCH($C38,tblMatières[Matière],0))</f>
        <v>4432216.0301564643</v>
      </c>
      <c r="J38" s="521">
        <f>INDEX(tblMatières[Coût - Facteur 2],MATCH($C38,tblMatières[Matière],0))</f>
        <v>2577968.7547286157</v>
      </c>
      <c r="K38" s="522">
        <f>INDEX(tblMatières[Coût - Facteur 3],MATCH($C38,tblMatières[Matière],0))</f>
        <v>1780861.1908334985</v>
      </c>
      <c r="L38" s="523">
        <f t="shared" si="7"/>
        <v>9778661.9522975609</v>
      </c>
      <c r="M38" s="486">
        <f>ROUND((L38 + 'Crédit contenu recyclé'!J32 + Paramètres!F69)/G38,2)</f>
        <v>288.37</v>
      </c>
    </row>
    <row r="39" spans="2:13" s="6" customFormat="1" ht="15">
      <c r="B39" s="43" t="str">
        <f>'Sommaire exécutif'!A37</f>
        <v>Plastique TOTAL</v>
      </c>
      <c r="C39" s="10"/>
      <c r="D39" s="61">
        <f t="shared" ref="D39:L39" si="9">SUBTOTAL(9,D28:D38)</f>
        <v>147259.73700000002</v>
      </c>
      <c r="E39" s="24">
        <f t="shared" si="9"/>
        <v>65541.451552815939</v>
      </c>
      <c r="F39" s="24">
        <f t="shared" si="9"/>
        <v>81718.285447184055</v>
      </c>
      <c r="G39" s="30">
        <f t="shared" si="9"/>
        <v>147259.73700000002</v>
      </c>
      <c r="H39" s="456">
        <f t="shared" si="9"/>
        <v>4288917.7600208735</v>
      </c>
      <c r="I39" s="456">
        <f t="shared" si="9"/>
        <v>18961825.746871341</v>
      </c>
      <c r="J39" s="456">
        <f t="shared" si="9"/>
        <v>14236446.169043235</v>
      </c>
      <c r="K39" s="456">
        <f t="shared" si="9"/>
        <v>15309327.258452041</v>
      </c>
      <c r="L39" s="456">
        <f t="shared" si="9"/>
        <v>52796516.934387498</v>
      </c>
      <c r="M39" s="491">
        <f>SUMPRODUCT(M28:M38,G28:G38)/SUM(G28:G38)</f>
        <v>359.58190750191261</v>
      </c>
    </row>
    <row r="40" spans="2:13" ht="15">
      <c r="B40" s="46" t="str">
        <f>'Sommaire exécutif'!A38</f>
        <v>Aluminium</v>
      </c>
      <c r="C40" s="37" t="str">
        <f>INDEX(ListeMatières,25)</f>
        <v>Contenants pour aliments et breuvages en aluminium</v>
      </c>
      <c r="D40" s="58">
        <f>INDEX(tblMatières[Quantité générée (tonnes)],MATCH($C40,tblMatières[Matière],0))</f>
        <v>2854.9569999999999</v>
      </c>
      <c r="E40" s="26">
        <f>INDEX(tblMatières[Quantité récupérée (tonnes)],MATCH($C40,tblMatières[Matière],0))</f>
        <v>1376.4950426958128</v>
      </c>
      <c r="F40" s="26">
        <f>D40-E40</f>
        <v>1478.4619573041871</v>
      </c>
      <c r="G40" s="48">
        <f>INDEX(tblMatières[Quantité déclarée (tonnes)],MATCH($C40,tblMatières[Matière],0))</f>
        <v>2854.9569999999999</v>
      </c>
      <c r="H40" s="634">
        <f>SUM('Frais de gestion &amp; RQ'!G39:G40)</f>
        <v>212366.6847094894</v>
      </c>
      <c r="I40" s="636">
        <f>SUM('Facteur 1'!H39:H40)</f>
        <v>1350102.5535778292</v>
      </c>
      <c r="J40" s="638">
        <f>SUM('Facteur 2'!J39:J40)</f>
        <v>-169195.64051875364</v>
      </c>
      <c r="K40" s="640">
        <f>SUM('Facteur 3'!L39:L40)</f>
        <v>0</v>
      </c>
      <c r="L40" s="642">
        <f>SUM(H40:K40)</f>
        <v>1393273.5977685649</v>
      </c>
      <c r="M40" s="518">
        <f>ROUND((L40 + SUM('Crédit contenu recyclé'!J35:J36) + SUM(Paramètres!$F$70:$F$71))/SUM(Tarif!G40:G41),2)</f>
        <v>181.44</v>
      </c>
    </row>
    <row r="41" spans="2:13" ht="15">
      <c r="B41" s="46"/>
      <c r="C41" s="37" t="str">
        <f>INDEX(ListeMatières,26)</f>
        <v>Autres contenants et emballages en aluminium</v>
      </c>
      <c r="D41" s="515">
        <f>INDEX(tblMatières[Quantité générée (tonnes)],MATCH($C41,tblMatières[Matière],0))</f>
        <v>4823.9380000000001</v>
      </c>
      <c r="E41" s="516">
        <f>INDEX(tblMatières[Quantité récupérée (tonnes)],MATCH($C41,tblMatières[Matière],0))</f>
        <v>483.96942592726941</v>
      </c>
      <c r="F41" s="516">
        <f>D41-E41</f>
        <v>4339.9685740727309</v>
      </c>
      <c r="G41" s="517">
        <f>INDEX(tblMatières[Quantité déclarée (tonnes)],MATCH($C41,tblMatières[Matière],0))</f>
        <v>4823.9380000000001</v>
      </c>
      <c r="H41" s="635"/>
      <c r="I41" s="637"/>
      <c r="J41" s="639"/>
      <c r="K41" s="641"/>
      <c r="L41" s="643"/>
      <c r="M41" s="518">
        <f>ROUND((L40 + SUM('Crédit contenu recyclé'!J35:J36) + SUM(Paramètres!$F$70:$F$71))/SUM(Tarif!G40:G41),2)</f>
        <v>181.44</v>
      </c>
    </row>
    <row r="42" spans="2:13" s="6" customFormat="1" ht="15">
      <c r="B42" s="43" t="str">
        <f>'Sommaire exécutif'!A40</f>
        <v>Aluminium TOTAL</v>
      </c>
      <c r="C42" s="10"/>
      <c r="D42" s="60">
        <f>SUBTOTAL(9,D40:D41)</f>
        <v>7678.8950000000004</v>
      </c>
      <c r="E42" s="22">
        <f t="shared" ref="E42:L42" si="10">SUBTOTAL(9,E40:E41)</f>
        <v>1860.4644686230822</v>
      </c>
      <c r="F42" s="22">
        <f t="shared" si="10"/>
        <v>5818.4305313769182</v>
      </c>
      <c r="G42" s="29">
        <f t="shared" si="10"/>
        <v>7678.8950000000004</v>
      </c>
      <c r="H42" s="456">
        <f t="shared" si="10"/>
        <v>212366.6847094894</v>
      </c>
      <c r="I42" s="456">
        <f t="shared" si="10"/>
        <v>1350102.5535778292</v>
      </c>
      <c r="J42" s="456">
        <f t="shared" si="10"/>
        <v>-169195.64051875364</v>
      </c>
      <c r="K42" s="456">
        <f t="shared" si="10"/>
        <v>0</v>
      </c>
      <c r="L42" s="482">
        <f t="shared" si="10"/>
        <v>1393273.5977685649</v>
      </c>
      <c r="M42" s="491">
        <f>SUMPRODUCT(M40:M41,G40:G41)/SUM(G40:G41)</f>
        <v>181.43999999999997</v>
      </c>
    </row>
    <row r="43" spans="2:13" ht="15">
      <c r="B43" s="46" t="str">
        <f>'Sommaire exécutif'!A41</f>
        <v>Acier</v>
      </c>
      <c r="C43" s="37" t="str">
        <f>INDEX(ListeMatières,27)</f>
        <v>Bombes aérosol en acier</v>
      </c>
      <c r="D43" s="58">
        <f>INDEX(tblMatières[Quantité générée (tonnes)],MATCH($C43,tblMatières[Matière],0))</f>
        <v>2430.7779999999998</v>
      </c>
      <c r="E43" s="26">
        <f>INDEX(tblMatières[Quantité récupérée (tonnes)],MATCH($C43,tblMatières[Matière],0))</f>
        <v>426.11538339999998</v>
      </c>
      <c r="F43" s="26">
        <f>D43-E43</f>
        <v>2004.6626165999999</v>
      </c>
      <c r="G43" s="48">
        <f>INDEX(tblMatières[Quantité déclarée (tonnes)],MATCH($C43,tblMatières[Matière],0))</f>
        <v>2430.7779999999998</v>
      </c>
      <c r="H43" s="634">
        <f>SUM('Frais de gestion &amp; RQ'!G42:G43)</f>
        <v>717419.51023086649</v>
      </c>
      <c r="I43" s="636">
        <f>SUM('Facteur 1'!H42:H43)</f>
        <v>2382230.4353278824</v>
      </c>
      <c r="J43" s="638">
        <f>SUM('Facteur 2'!J42:J43)</f>
        <v>1054762.1610085359</v>
      </c>
      <c r="K43" s="640">
        <f>SUM('Facteur 3'!L42:L43)</f>
        <v>339019.760919597</v>
      </c>
      <c r="L43" s="642">
        <f>SUM(H43:K43)</f>
        <v>4493431.867486882</v>
      </c>
      <c r="M43" s="518">
        <f>ROUND((L43 + SUM('Crédit contenu recyclé'!J38:J39) + SUM(Paramètres!F72:F73))/SUM(Tarif!G43:G44),2)</f>
        <v>173.22</v>
      </c>
    </row>
    <row r="44" spans="2:13" ht="15">
      <c r="B44" s="46"/>
      <c r="C44" s="37" t="str">
        <f>INDEX(ListeMatières,28)</f>
        <v>Autres contenants en acier</v>
      </c>
      <c r="D44" s="515">
        <f>INDEX(tblMatières[Quantité générée (tonnes)],MATCH($C44,tblMatières[Matière],0))</f>
        <v>23510.151000000002</v>
      </c>
      <c r="E44" s="516">
        <f>INDEX(tblMatières[Quantité récupérée (tonnes)],MATCH($C44,tblMatières[Matière],0))</f>
        <v>15248.302927500676</v>
      </c>
      <c r="F44" s="516">
        <f>D44-E44</f>
        <v>8261.848072499326</v>
      </c>
      <c r="G44" s="517">
        <f>INDEX(tblMatières[Quantité déclarée (tonnes)],MATCH($C44,tblMatières[Matière],0))</f>
        <v>23510.151000000002</v>
      </c>
      <c r="H44" s="635"/>
      <c r="I44" s="637"/>
      <c r="J44" s="639"/>
      <c r="K44" s="641"/>
      <c r="L44" s="643"/>
      <c r="M44" s="518">
        <f>ROUND((L43 + SUM('Crédit contenu recyclé'!J38:J39) + SUM(Paramètres!F72:F73))/SUM(Tarif!G43:G44),2)</f>
        <v>173.22</v>
      </c>
    </row>
    <row r="45" spans="2:13" ht="15">
      <c r="B45" s="43" t="str">
        <f>'Sommaire exécutif'!A43</f>
        <v>Acier TOTAL</v>
      </c>
      <c r="C45" s="10"/>
      <c r="D45" s="60">
        <f t="shared" ref="D45:L45" si="11">SUBTOTAL(9,D43:D44)</f>
        <v>25940.929</v>
      </c>
      <c r="E45" s="22">
        <f t="shared" si="11"/>
        <v>15674.418310900675</v>
      </c>
      <c r="F45" s="22">
        <f t="shared" si="11"/>
        <v>10266.510689099327</v>
      </c>
      <c r="G45" s="29">
        <f t="shared" si="11"/>
        <v>25940.929</v>
      </c>
      <c r="H45" s="456">
        <f t="shared" si="11"/>
        <v>717419.51023086649</v>
      </c>
      <c r="I45" s="456">
        <f t="shared" si="11"/>
        <v>2382230.4353278824</v>
      </c>
      <c r="J45" s="456">
        <f t="shared" si="11"/>
        <v>1054762.1610085359</v>
      </c>
      <c r="K45" s="456">
        <f t="shared" si="11"/>
        <v>339019.760919597</v>
      </c>
      <c r="L45" s="456">
        <f t="shared" si="11"/>
        <v>4493431.867486882</v>
      </c>
      <c r="M45" s="491">
        <f>SUMPRODUCT(M43:M44,G43:G44)/SUM(G43:G44)</f>
        <v>173.22</v>
      </c>
    </row>
    <row r="46" spans="2:13" ht="15">
      <c r="B46" s="46" t="str">
        <f>'Sommaire exécutif'!A44</f>
        <v>Verre</v>
      </c>
      <c r="C46" s="37" t="str">
        <f>INDEX(ListeMatières,29)</f>
        <v>Verre clair</v>
      </c>
      <c r="D46" s="58">
        <f>INDEX(tblMatières[Quantité générée (tonnes)],MATCH($C46,tblMatières[Matière],0))</f>
        <v>56442.516000000003</v>
      </c>
      <c r="E46" s="26">
        <f>INDEX(tblMatières[Quantité récupérée (tonnes)],MATCH($C46,tblMatières[Matière],0))</f>
        <v>44498.909088249253</v>
      </c>
      <c r="F46" s="26">
        <f>D46-E46</f>
        <v>11943.60691175075</v>
      </c>
      <c r="G46" s="48">
        <f>INDEX(tblMatières[Quantité déclarée (tonnes)],MATCH($C46,tblMatières[Matière],0))</f>
        <v>56442.516000000003</v>
      </c>
      <c r="H46" s="519">
        <f>INDEX(tblMatières[Coût - Frais admin],MATCH($C46,tblMatières[Matière],0))</f>
        <v>398592.89987733768</v>
      </c>
      <c r="I46" s="520">
        <f>INDEX(tblMatières[Coût - Facteur 1],MATCH($C46,tblMatières[Matière],0))</f>
        <v>2771382.0941106146</v>
      </c>
      <c r="J46" s="521">
        <f>INDEX(tblMatières[Coût - Facteur 2],MATCH($C46,tblMatières[Matière],0))</f>
        <v>5871958.1901864065</v>
      </c>
      <c r="K46" s="522">
        <f>INDEX(tblMatières[Coût - Facteur 3],MATCH($C46,tblMatières[Matière],0))</f>
        <v>844062.18628922419</v>
      </c>
      <c r="L46" s="523">
        <f>SUM(H46:K46)</f>
        <v>9885995.3704635836</v>
      </c>
      <c r="M46" s="518">
        <f>ROUND((L46 + 'Crédit contenu recyclé'!J41 + Paramètres!F74)/G46,2)</f>
        <v>175.15</v>
      </c>
    </row>
    <row r="47" spans="2:13" ht="15">
      <c r="B47" s="46"/>
      <c r="C47" s="233" t="str">
        <f>INDEX(ListeMatières,30)</f>
        <v>Verre coloré</v>
      </c>
      <c r="D47" s="515">
        <f>INDEX(tblMatières[Quantité générée (tonnes)],MATCH($C47,tblMatières[Matière],0))</f>
        <v>83245.164999999994</v>
      </c>
      <c r="E47" s="516">
        <f>INDEX(tblMatières[Quantité récupérée (tonnes)],MATCH($C47,tblMatières[Matière],0))</f>
        <v>65629.941609465241</v>
      </c>
      <c r="F47" s="516">
        <f>D47-E47</f>
        <v>17615.223390534753</v>
      </c>
      <c r="G47" s="517">
        <f>INDEX(tblMatières[Quantité déclarée (tonnes)],MATCH($C47,tblMatières[Matière],0))</f>
        <v>83245.164999999994</v>
      </c>
      <c r="H47" s="452">
        <f>INDEX(tblMatières[Coût - Frais admin],MATCH($C47,tblMatières[Matière],0))</f>
        <v>587871.2373154565</v>
      </c>
      <c r="I47" s="449">
        <f>INDEX(tblMatières[Coût - Facteur 1],MATCH($C47,tblMatières[Matière],0))</f>
        <v>4087418.0680089407</v>
      </c>
      <c r="J47" s="450">
        <f>INDEX(tblMatières[Coût - Facteur 2],MATCH($C47,tblMatières[Matière],0))</f>
        <v>8663512.0905851666</v>
      </c>
      <c r="K47" s="451">
        <f>INDEX(tblMatières[Coût - Facteur 3],MATCH($C47,tblMatières[Matière],0))</f>
        <v>1245332.939928564</v>
      </c>
      <c r="L47" s="454">
        <f>SUM(H47:K47)</f>
        <v>14584134.335838126</v>
      </c>
      <c r="M47" s="518">
        <f>ROUND((L47 + 'Crédit contenu recyclé'!J42 + Paramètres!F75)/G47,2)</f>
        <v>175.19</v>
      </c>
    </row>
    <row r="48" spans="2:13" s="6" customFormat="1" ht="15.75" thickBot="1">
      <c r="B48" s="57" t="str">
        <f>'Sommaire exécutif'!A46</f>
        <v>Verre TOTAL</v>
      </c>
      <c r="C48" s="14"/>
      <c r="D48" s="204">
        <f t="shared" ref="D48:L48" si="12">SUBTOTAL(9,D46:D47)</f>
        <v>139687.68099999998</v>
      </c>
      <c r="E48" s="210">
        <f t="shared" si="12"/>
        <v>110128.85069771449</v>
      </c>
      <c r="F48" s="210">
        <f t="shared" si="12"/>
        <v>29558.830302285503</v>
      </c>
      <c r="G48" s="503">
        <f t="shared" si="12"/>
        <v>139687.68099999998</v>
      </c>
      <c r="H48" s="458">
        <f t="shared" si="12"/>
        <v>986464.13719279412</v>
      </c>
      <c r="I48" s="458">
        <f t="shared" si="12"/>
        <v>6858800.1621195553</v>
      </c>
      <c r="J48" s="458">
        <f t="shared" si="12"/>
        <v>14535470.280771572</v>
      </c>
      <c r="K48" s="458">
        <f t="shared" si="12"/>
        <v>2089395.1262177881</v>
      </c>
      <c r="L48" s="458">
        <f t="shared" si="12"/>
        <v>24470129.706301711</v>
      </c>
      <c r="M48" s="504">
        <f>SUMPRODUCT(M46:M47,G46:G47)/SUM(G46:G47)</f>
        <v>175.17383751076807</v>
      </c>
    </row>
    <row r="49" spans="2:13" s="6" customFormat="1" ht="16.5" thickTop="1" thickBot="1">
      <c r="B49" s="56" t="str">
        <f>'Sommaire exécutif'!A47</f>
        <v>CONTENANTS ET EMBALLAGES TOTAL</v>
      </c>
      <c r="C49" s="23"/>
      <c r="D49" s="275">
        <f t="shared" ref="D49:L49" si="13">SUBTOTAL(9,D20:D48)</f>
        <v>501933.17799999984</v>
      </c>
      <c r="E49" s="501">
        <f t="shared" si="13"/>
        <v>310448.29415596765</v>
      </c>
      <c r="F49" s="501">
        <f t="shared" si="13"/>
        <v>191484.88384403236</v>
      </c>
      <c r="G49" s="502">
        <f t="shared" si="13"/>
        <v>501933.17799999984</v>
      </c>
      <c r="H49" s="457">
        <f t="shared" si="13"/>
        <v>8768402.6743655968</v>
      </c>
      <c r="I49" s="457">
        <f t="shared" si="13"/>
        <v>44431952.784388229</v>
      </c>
      <c r="J49" s="457">
        <f t="shared" si="13"/>
        <v>44431952.784388229</v>
      </c>
      <c r="K49" s="457">
        <f t="shared" si="13"/>
        <v>22215976.392194111</v>
      </c>
      <c r="L49" s="457">
        <f t="shared" si="13"/>
        <v>119848284.63533615</v>
      </c>
      <c r="M49" s="492">
        <f>(M27*G27 + M39*G39 + M42*G42 + M45*G45 + M48*G48) / G49</f>
        <v>239.08196188939723</v>
      </c>
    </row>
    <row r="50" spans="2:13" ht="6" customHeight="1">
      <c r="B50" s="38"/>
      <c r="D50" s="38"/>
      <c r="G50" s="8"/>
      <c r="H50" s="287"/>
      <c r="I50" s="292"/>
      <c r="J50" s="292"/>
      <c r="K50" s="292"/>
      <c r="L50" s="287"/>
      <c r="M50" s="489"/>
    </row>
    <row r="51" spans="2:13" s="6" customFormat="1" ht="15.75" thickBot="1">
      <c r="B51" s="57" t="str">
        <f>'Sommaire exécutif'!A49</f>
        <v>TOTAL</v>
      </c>
      <c r="C51" s="14"/>
      <c r="D51" s="62">
        <f>SUBTOTAL(9,D11:D49)</f>
        <v>642270.19699999993</v>
      </c>
      <c r="E51" s="25">
        <f t="shared" ref="E51:L51" si="14">SUBTOTAL(9,E11:E49)</f>
        <v>422897.71955038316</v>
      </c>
      <c r="F51" s="25">
        <f t="shared" si="14"/>
        <v>219372.47744961688</v>
      </c>
      <c r="G51" s="31">
        <f t="shared" si="14"/>
        <v>642270.19699999993</v>
      </c>
      <c r="H51" s="458">
        <f t="shared" si="14"/>
        <v>10051000</v>
      </c>
      <c r="I51" s="458">
        <f t="shared" si="14"/>
        <v>56984323.027237296</v>
      </c>
      <c r="J51" s="458">
        <f t="shared" si="14"/>
        <v>56984323.027237289</v>
      </c>
      <c r="K51" s="458">
        <f t="shared" si="14"/>
        <v>28492161.513618641</v>
      </c>
      <c r="L51" s="458">
        <f t="shared" si="14"/>
        <v>152511807.56809321</v>
      </c>
      <c r="M51" s="490">
        <f>(M17*G17 + M49*G49)/G51</f>
        <v>238.21242256397275</v>
      </c>
    </row>
    <row r="52" spans="2:13" ht="15" thickTop="1">
      <c r="B52" s="37"/>
      <c r="H52" s="37"/>
    </row>
    <row r="53" spans="2:13">
      <c r="H53" s="37"/>
    </row>
    <row r="54" spans="2:13">
      <c r="H54" s="37"/>
    </row>
    <row r="55" spans="2:13">
      <c r="C55" s="37"/>
      <c r="D55" s="423"/>
      <c r="H55" s="37"/>
    </row>
    <row r="56" spans="2:13">
      <c r="D56" s="423"/>
      <c r="H56" s="37"/>
    </row>
    <row r="57" spans="2:13">
      <c r="H57" s="37"/>
    </row>
    <row r="58" spans="2:13">
      <c r="H58" s="37"/>
    </row>
    <row r="59" spans="2:13">
      <c r="H59" s="37"/>
    </row>
    <row r="60" spans="2:13">
      <c r="H60" s="37"/>
    </row>
    <row r="61" spans="2:13">
      <c r="H61" s="37"/>
    </row>
    <row r="62" spans="2:13">
      <c r="H62" s="37"/>
    </row>
    <row r="63" spans="2:13">
      <c r="H63" s="37"/>
    </row>
    <row r="64" spans="2:13">
      <c r="H64" s="37"/>
    </row>
    <row r="65" spans="8:8">
      <c r="H65" s="37"/>
    </row>
    <row r="66" spans="8:8">
      <c r="H66" s="37"/>
    </row>
    <row r="67" spans="8:8">
      <c r="H67" s="37"/>
    </row>
    <row r="68" spans="8:8">
      <c r="H68" s="37"/>
    </row>
    <row r="69" spans="8:8">
      <c r="H69" s="37"/>
    </row>
    <row r="70" spans="8:8">
      <c r="H70" s="37"/>
    </row>
    <row r="71" spans="8:8">
      <c r="H71" s="37"/>
    </row>
    <row r="72" spans="8:8">
      <c r="H72" s="37"/>
    </row>
    <row r="73" spans="8:8">
      <c r="H73" s="37"/>
    </row>
    <row r="74" spans="8:8">
      <c r="H74" s="37"/>
    </row>
    <row r="75" spans="8:8">
      <c r="H75" s="37"/>
    </row>
    <row r="76" spans="8:8">
      <c r="H76" s="37"/>
    </row>
    <row r="77" spans="8:8">
      <c r="H77" s="37"/>
    </row>
    <row r="78" spans="8:8">
      <c r="H78" s="37"/>
    </row>
    <row r="79" spans="8:8">
      <c r="H79" s="37"/>
    </row>
    <row r="80" spans="8:8">
      <c r="H80" s="37"/>
    </row>
    <row r="81" spans="8:8">
      <c r="H81" s="37"/>
    </row>
    <row r="82" spans="8:8">
      <c r="H82" s="37"/>
    </row>
    <row r="83" spans="8:8">
      <c r="H83" s="37"/>
    </row>
    <row r="84" spans="8:8">
      <c r="H84" s="37"/>
    </row>
    <row r="85" spans="8:8">
      <c r="H85" s="37"/>
    </row>
    <row r="86" spans="8:8">
      <c r="H86" s="37"/>
    </row>
    <row r="87" spans="8:8">
      <c r="H87" s="37"/>
    </row>
    <row r="88" spans="8:8">
      <c r="H88" s="37"/>
    </row>
    <row r="89" spans="8:8">
      <c r="H89" s="37"/>
    </row>
    <row r="90" spans="8:8">
      <c r="H90" s="37"/>
    </row>
    <row r="91" spans="8:8">
      <c r="H91" s="37"/>
    </row>
    <row r="92" spans="8:8">
      <c r="H92" s="37"/>
    </row>
    <row r="93" spans="8:8">
      <c r="H93" s="37"/>
    </row>
    <row r="94" spans="8:8">
      <c r="H94" s="37"/>
    </row>
    <row r="95" spans="8:8">
      <c r="H95" s="37"/>
    </row>
    <row r="96" spans="8:8">
      <c r="H96" s="37"/>
    </row>
    <row r="97" spans="8:8">
      <c r="H97" s="37"/>
    </row>
    <row r="98" spans="8:8">
      <c r="H98" s="37"/>
    </row>
    <row r="99" spans="8:8">
      <c r="H99" s="37"/>
    </row>
    <row r="100" spans="8:8">
      <c r="H100" s="37"/>
    </row>
    <row r="101" spans="8:8">
      <c r="H101" s="37"/>
    </row>
    <row r="102" spans="8:8">
      <c r="H102" s="37"/>
    </row>
    <row r="103" spans="8:8">
      <c r="H103" s="37"/>
    </row>
    <row r="104" spans="8:8">
      <c r="H104" s="37"/>
    </row>
    <row r="105" spans="8:8">
      <c r="H105" s="37"/>
    </row>
    <row r="106" spans="8:8">
      <c r="H106" s="37"/>
    </row>
    <row r="107" spans="8:8">
      <c r="H107" s="37"/>
    </row>
    <row r="108" spans="8:8">
      <c r="H108" s="37"/>
    </row>
    <row r="109" spans="8:8">
      <c r="H109" s="37"/>
    </row>
    <row r="110" spans="8:8">
      <c r="H110" s="37"/>
    </row>
    <row r="111" spans="8:8">
      <c r="H111" s="37"/>
    </row>
    <row r="112" spans="8:8">
      <c r="H112" s="37"/>
    </row>
    <row r="113" spans="8:8">
      <c r="H113" s="37"/>
    </row>
    <row r="114" spans="8:8">
      <c r="H114" s="37"/>
    </row>
    <row r="115" spans="8:8">
      <c r="H115" s="37"/>
    </row>
    <row r="116" spans="8:8">
      <c r="H116" s="37"/>
    </row>
    <row r="117" spans="8:8">
      <c r="H117" s="37"/>
    </row>
    <row r="118" spans="8:8">
      <c r="H118" s="37"/>
    </row>
    <row r="119" spans="8:8">
      <c r="H119" s="37"/>
    </row>
    <row r="120" spans="8:8">
      <c r="H120" s="37"/>
    </row>
    <row r="121" spans="8:8">
      <c r="H121" s="37"/>
    </row>
    <row r="122" spans="8:8">
      <c r="H122" s="37"/>
    </row>
    <row r="123" spans="8:8">
      <c r="H123" s="37"/>
    </row>
    <row r="124" spans="8:8">
      <c r="H124" s="37"/>
    </row>
    <row r="125" spans="8:8">
      <c r="H125" s="37"/>
    </row>
    <row r="126" spans="8:8">
      <c r="H126" s="37"/>
    </row>
    <row r="127" spans="8:8">
      <c r="H127" s="37"/>
    </row>
    <row r="128" spans="8:8">
      <c r="H128" s="37"/>
    </row>
    <row r="129" spans="8:8">
      <c r="H129" s="37"/>
    </row>
    <row r="130" spans="8:8">
      <c r="H130" s="37"/>
    </row>
    <row r="131" spans="8:8">
      <c r="H131" s="37"/>
    </row>
    <row r="132" spans="8:8">
      <c r="H132" s="37"/>
    </row>
    <row r="133" spans="8:8">
      <c r="H133" s="37"/>
    </row>
    <row r="134" spans="8:8">
      <c r="H134" s="37"/>
    </row>
    <row r="135" spans="8:8">
      <c r="H135" s="37"/>
    </row>
    <row r="136" spans="8:8">
      <c r="H136" s="37"/>
    </row>
    <row r="137" spans="8:8">
      <c r="H137" s="37"/>
    </row>
    <row r="138" spans="8:8">
      <c r="H138" s="37"/>
    </row>
    <row r="139" spans="8:8">
      <c r="H139" s="37"/>
    </row>
    <row r="140" spans="8:8">
      <c r="H140" s="37"/>
    </row>
    <row r="141" spans="8:8">
      <c r="H141" s="37"/>
    </row>
    <row r="142" spans="8:8">
      <c r="H142" s="37"/>
    </row>
    <row r="143" spans="8:8">
      <c r="H143" s="37"/>
    </row>
    <row r="144" spans="8:8">
      <c r="H144" s="37"/>
    </row>
    <row r="145" spans="8:8">
      <c r="H145" s="37"/>
    </row>
    <row r="146" spans="8:8">
      <c r="H146" s="37"/>
    </row>
    <row r="147" spans="8:8">
      <c r="H147" s="37"/>
    </row>
    <row r="148" spans="8:8">
      <c r="H148" s="37"/>
    </row>
    <row r="149" spans="8:8">
      <c r="H149" s="37"/>
    </row>
    <row r="150" spans="8:8">
      <c r="H150" s="37"/>
    </row>
    <row r="151" spans="8:8">
      <c r="H151" s="37"/>
    </row>
    <row r="152" spans="8:8">
      <c r="H152" s="37"/>
    </row>
    <row r="153" spans="8:8">
      <c r="H153" s="37"/>
    </row>
    <row r="154" spans="8:8">
      <c r="H154" s="37"/>
    </row>
    <row r="155" spans="8:8">
      <c r="H155" s="37"/>
    </row>
    <row r="156" spans="8:8">
      <c r="H156" s="37"/>
    </row>
    <row r="157" spans="8:8">
      <c r="H157" s="37"/>
    </row>
    <row r="158" spans="8:8">
      <c r="H158" s="37"/>
    </row>
    <row r="159" spans="8:8">
      <c r="H159" s="37"/>
    </row>
    <row r="160" spans="8:8">
      <c r="H160" s="37"/>
    </row>
    <row r="161" spans="8:8">
      <c r="H161" s="37"/>
    </row>
    <row r="162" spans="8:8">
      <c r="H162" s="37"/>
    </row>
    <row r="163" spans="8:8">
      <c r="H163" s="37"/>
    </row>
    <row r="164" spans="8:8">
      <c r="H164" s="37"/>
    </row>
    <row r="165" spans="8:8">
      <c r="H165" s="37"/>
    </row>
    <row r="166" spans="8:8">
      <c r="H166" s="37"/>
    </row>
    <row r="167" spans="8:8">
      <c r="H167" s="37"/>
    </row>
    <row r="168" spans="8:8">
      <c r="H168" s="37"/>
    </row>
    <row r="169" spans="8:8">
      <c r="H169" s="37"/>
    </row>
    <row r="170" spans="8:8">
      <c r="H170" s="37"/>
    </row>
    <row r="171" spans="8:8">
      <c r="H171" s="37"/>
    </row>
    <row r="172" spans="8:8">
      <c r="H172" s="37"/>
    </row>
    <row r="173" spans="8:8">
      <c r="H173" s="37"/>
    </row>
    <row r="174" spans="8:8">
      <c r="H174" s="37"/>
    </row>
    <row r="175" spans="8:8">
      <c r="H175" s="37"/>
    </row>
    <row r="176" spans="8:8">
      <c r="H176" s="37"/>
    </row>
    <row r="177" spans="8:8">
      <c r="H177" s="37"/>
    </row>
    <row r="178" spans="8:8">
      <c r="H178" s="37"/>
    </row>
    <row r="179" spans="8:8">
      <c r="H179" s="37"/>
    </row>
    <row r="180" spans="8:8">
      <c r="H180" s="37"/>
    </row>
    <row r="181" spans="8:8">
      <c r="H181" s="37"/>
    </row>
    <row r="182" spans="8:8">
      <c r="H182" s="37"/>
    </row>
    <row r="183" spans="8:8">
      <c r="H183" s="37"/>
    </row>
    <row r="184" spans="8:8">
      <c r="H184" s="37"/>
    </row>
    <row r="185" spans="8:8">
      <c r="H185" s="37"/>
    </row>
    <row r="186" spans="8:8">
      <c r="H186" s="37"/>
    </row>
    <row r="187" spans="8:8">
      <c r="H187" s="37"/>
    </row>
    <row r="188" spans="8:8">
      <c r="H188" s="37"/>
    </row>
    <row r="189" spans="8:8">
      <c r="H189" s="37"/>
    </row>
    <row r="190" spans="8:8">
      <c r="H190" s="37"/>
    </row>
    <row r="191" spans="8:8">
      <c r="H191" s="37"/>
    </row>
    <row r="192" spans="8:8">
      <c r="H192" s="37"/>
    </row>
    <row r="193" spans="8:8">
      <c r="H193" s="37"/>
    </row>
    <row r="194" spans="8:8">
      <c r="H194" s="37"/>
    </row>
    <row r="195" spans="8:8">
      <c r="H195" s="37"/>
    </row>
    <row r="196" spans="8:8">
      <c r="H196" s="37"/>
    </row>
    <row r="197" spans="8:8">
      <c r="H197" s="37"/>
    </row>
  </sheetData>
  <dataConsolidate link="1"/>
  <mergeCells count="34">
    <mergeCell ref="D7:G7"/>
    <mergeCell ref="H7:L7"/>
    <mergeCell ref="L12:L16"/>
    <mergeCell ref="K12:K16"/>
    <mergeCell ref="H12:H16"/>
    <mergeCell ref="I12:I16"/>
    <mergeCell ref="J12:J16"/>
    <mergeCell ref="L20:L22"/>
    <mergeCell ref="K20:K22"/>
    <mergeCell ref="J20:J22"/>
    <mergeCell ref="I20:I22"/>
    <mergeCell ref="H20:H22"/>
    <mergeCell ref="L30:L32"/>
    <mergeCell ref="K30:K32"/>
    <mergeCell ref="J30:J32"/>
    <mergeCell ref="I30:I32"/>
    <mergeCell ref="H30:H32"/>
    <mergeCell ref="L33:L35"/>
    <mergeCell ref="K33:K35"/>
    <mergeCell ref="J33:J35"/>
    <mergeCell ref="I33:I35"/>
    <mergeCell ref="H33:H35"/>
    <mergeCell ref="H36:L36"/>
    <mergeCell ref="H37:L37"/>
    <mergeCell ref="H43:H44"/>
    <mergeCell ref="I43:I44"/>
    <mergeCell ref="J43:J44"/>
    <mergeCell ref="K43:K44"/>
    <mergeCell ref="L43:L44"/>
    <mergeCell ref="L40:L41"/>
    <mergeCell ref="K40:K41"/>
    <mergeCell ref="H40:H41"/>
    <mergeCell ref="I40:I41"/>
    <mergeCell ref="J40:J41"/>
  </mergeCells>
  <pageMargins left="0.7" right="0.7" top="0.75" bottom="0.75" header="0.3" footer="0.3"/>
  <pageSetup scale="51" fitToHeight="0" orientation="landscape" r:id="rId1"/>
  <colBreaks count="1" manualBreakCount="1">
    <brk id="7" min="1" max="49" man="1"/>
  </colBreaks>
  <ignoredErrors>
    <ignoredError sqref="C17 B47 C27 C48 B16 B11 B13:C13 B14 B26 C20 B21 B22:C22 B23 B24:C24 B25 B18:C18 C19 C10:G10" 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K558"/>
  <sheetViews>
    <sheetView showGridLines="0" view="pageBreakPreview" zoomScale="80" zoomScaleNormal="90" zoomScaleSheetLayoutView="80" workbookViewId="0">
      <pane xSplit="2" ySplit="7" topLeftCell="C8" activePane="bottomRight" state="frozen"/>
      <selection activeCell="C18" sqref="C18"/>
      <selection pane="topRight" activeCell="C18" sqref="C18"/>
      <selection pane="bottomLeft" activeCell="C18" sqref="C18"/>
      <selection pane="bottomRight" activeCell="I9" sqref="I9"/>
    </sheetView>
  </sheetViews>
  <sheetFormatPr baseColWidth="10" defaultColWidth="9.140625" defaultRowHeight="15"/>
  <cols>
    <col min="1" max="1" width="25.140625" customWidth="1"/>
    <col min="2" max="2" width="52.140625" bestFit="1" customWidth="1"/>
    <col min="3" max="3" width="20.85546875" bestFit="1" customWidth="1"/>
    <col min="4" max="4" width="19" bestFit="1" customWidth="1"/>
    <col min="5" max="5" width="21" bestFit="1" customWidth="1"/>
    <col min="6" max="6" width="21" customWidth="1"/>
    <col min="7" max="7" width="19.5703125" customWidth="1"/>
    <col min="8" max="8" width="19.7109375" bestFit="1" customWidth="1"/>
    <col min="9" max="9" width="14.140625" customWidth="1"/>
    <col min="10" max="10" width="10.85546875" customWidth="1"/>
    <col min="11" max="11" width="11.7109375" customWidth="1"/>
  </cols>
  <sheetData>
    <row r="1" spans="1:11" s="149" customFormat="1" ht="16.5" thickBot="1">
      <c r="A1" s="412" t="s">
        <v>59</v>
      </c>
      <c r="B1" s="36"/>
      <c r="E1" s="172"/>
      <c r="F1" s="172"/>
    </row>
    <row r="2" spans="1:11" ht="15.75" thickBot="1">
      <c r="A2" s="35"/>
      <c r="B2" s="35"/>
      <c r="E2" s="16"/>
      <c r="F2" s="16"/>
    </row>
    <row r="3" spans="1:11" ht="18.75" thickBot="1">
      <c r="A3" s="83" t="str">
        <f>Paramètres!B4</f>
        <v>Tarif</v>
      </c>
      <c r="B3" s="84">
        <f>AnnéeTarif</f>
        <v>2019</v>
      </c>
      <c r="C3" s="237"/>
      <c r="D3" s="239"/>
      <c r="E3" s="238"/>
      <c r="F3" s="238"/>
      <c r="G3" s="239"/>
      <c r="H3" s="239"/>
      <c r="I3" s="239"/>
      <c r="J3" s="239"/>
      <c r="K3" s="239"/>
    </row>
    <row r="4" spans="1:11" ht="18.75" thickBot="1">
      <c r="A4" s="83" t="str">
        <f>Paramètres!B5</f>
        <v>Version</v>
      </c>
      <c r="B4" s="236" t="str">
        <f>Paramètres!C5</f>
        <v>Projet de Tarif</v>
      </c>
      <c r="C4" s="239"/>
      <c r="E4" s="16"/>
      <c r="F4" s="16"/>
    </row>
    <row r="5" spans="1:11" ht="18.75" thickBot="1">
      <c r="A5" s="83" t="str">
        <f>Paramètres!B6</f>
        <v>Année civile de référence</v>
      </c>
      <c r="B5" s="84">
        <f>AnnéeRéf</f>
        <v>2018</v>
      </c>
      <c r="C5" s="148"/>
      <c r="D5" s="326"/>
      <c r="E5" s="326"/>
      <c r="F5" s="326"/>
      <c r="G5" s="326"/>
      <c r="H5" s="326"/>
      <c r="I5" s="149"/>
      <c r="J5" s="149"/>
      <c r="K5" s="149"/>
    </row>
    <row r="6" spans="1:11" ht="15.75" customHeight="1">
      <c r="A6" s="94"/>
      <c r="B6" s="94"/>
      <c r="C6" s="611" t="s">
        <v>97</v>
      </c>
      <c r="D6" s="612"/>
      <c r="E6" s="612"/>
      <c r="F6" s="612"/>
      <c r="G6" s="612"/>
      <c r="H6" s="613"/>
      <c r="I6" s="165" t="s">
        <v>79</v>
      </c>
      <c r="J6" s="611" t="s">
        <v>80</v>
      </c>
      <c r="K6" s="613"/>
    </row>
    <row r="7" spans="1:11" ht="45">
      <c r="A7" s="42" t="s">
        <v>207</v>
      </c>
      <c r="B7" s="9" t="s">
        <v>130</v>
      </c>
      <c r="C7" s="175" t="s">
        <v>190</v>
      </c>
      <c r="D7" s="159" t="s">
        <v>181</v>
      </c>
      <c r="E7" s="159" t="s">
        <v>182</v>
      </c>
      <c r="F7" s="270" t="s">
        <v>183</v>
      </c>
      <c r="G7" s="159" t="s">
        <v>191</v>
      </c>
      <c r="H7" s="251" t="s">
        <v>192</v>
      </c>
      <c r="I7" s="159" t="s">
        <v>223</v>
      </c>
      <c r="J7" s="175" t="s">
        <v>218</v>
      </c>
      <c r="K7" s="251" t="s">
        <v>160</v>
      </c>
    </row>
    <row r="8" spans="1:11">
      <c r="A8" s="43" t="s">
        <v>29</v>
      </c>
      <c r="B8" s="11"/>
      <c r="C8" s="152"/>
      <c r="D8" s="133"/>
      <c r="E8" s="133"/>
      <c r="F8" s="133"/>
      <c r="G8" s="133"/>
      <c r="H8" s="134"/>
      <c r="I8" s="133"/>
      <c r="J8" s="152"/>
      <c r="K8" s="134"/>
    </row>
    <row r="9" spans="1:11">
      <c r="A9" s="63"/>
      <c r="B9" s="37" t="str">
        <f>INDEX(ListeMatières,1)</f>
        <v>Encarts et circulaires imprimés sur du papier journal</v>
      </c>
      <c r="C9" s="265">
        <f>INDEX(tblMatières[Quantité déclarée (tonnes)],MATCH($B9,tblMatières[Matière],0))</f>
        <v>92875.491999999998</v>
      </c>
      <c r="D9" s="166">
        <f>INDEX(tblMatières[Quantité générée (tonnes)],MATCH($B9,tblMatières[Matière],0))</f>
        <v>92875.491999999998</v>
      </c>
      <c r="E9" s="166">
        <f>INDEX(tblMatières[Quantité récupérée (tonnes)],MATCH($B9,tblMatières[Matière],0))</f>
        <v>79077.813804180056</v>
      </c>
      <c r="F9" s="166">
        <f>D9-E9</f>
        <v>13797.678195819943</v>
      </c>
      <c r="G9" s="147">
        <f>INDEX(tblMatières[% récupération],MATCH($B9,tblMatières[Matière],0))</f>
        <v>0.85143897600219509</v>
      </c>
      <c r="H9" s="327">
        <f>INDEX(tblMatières[Coût net ACA],MATCH($B9,tblMatières[Matière],0))</f>
        <v>137.24643304840907</v>
      </c>
      <c r="I9" s="332">
        <f>INDEX(rgTarif_TxFinal,MATCH($B9,rgTarif_Matières,0))</f>
        <v>204.57</v>
      </c>
      <c r="J9" s="95">
        <v>184.14</v>
      </c>
      <c r="K9" s="371">
        <f t="shared" ref="K9:K15" si="0">IF(J9&gt;0,I9/J9-1,0)</f>
        <v>0.11094819159335301</v>
      </c>
    </row>
    <row r="10" spans="1:11">
      <c r="A10" s="38"/>
      <c r="B10" s="37" t="str">
        <f>INDEX(ListeMatières,2)</f>
        <v>Catalogues et publications</v>
      </c>
      <c r="C10" s="153">
        <f>INDEX(tblMatières[Quantité déclarée (tonnes)],MATCH($B10,tblMatières[Matière],0))</f>
        <v>11747.308000000001</v>
      </c>
      <c r="D10" s="166">
        <f>INDEX(tblMatières[Quantité générée (tonnes)],MATCH($B10,tblMatières[Matière],0))</f>
        <v>11747.308000000001</v>
      </c>
      <c r="E10" s="166">
        <f>INDEX(tblMatières[Quantité récupérée (tonnes)],MATCH($B10,tblMatières[Matière],0))</f>
        <v>9684.3486270753401</v>
      </c>
      <c r="F10" s="166">
        <f t="shared" ref="F10:F15" si="1">D10-E10</f>
        <v>2062.9593729246608</v>
      </c>
      <c r="G10" s="147">
        <f>INDEX(tblMatières[% récupération],MATCH($B10,tblMatières[Matière],0))</f>
        <v>0.82438875588137628</v>
      </c>
      <c r="H10" s="327">
        <f>INDEX(tblMatières[Coût net ACA],MATCH($B10,tblMatières[Matière],0))</f>
        <v>137.28276209641774</v>
      </c>
      <c r="I10" s="332">
        <f t="shared" ref="I10:I14" si="2">INDEX(rgTarif_TxFinal,MATCH($B10,rgTarif_Matières,0))</f>
        <v>294.85000000000002</v>
      </c>
      <c r="J10" s="95">
        <v>268.89999999999998</v>
      </c>
      <c r="K10" s="371">
        <f t="shared" si="0"/>
        <v>9.6504276682781942E-2</v>
      </c>
    </row>
    <row r="11" spans="1:11">
      <c r="A11" s="38"/>
      <c r="B11" s="37" t="str">
        <f>INDEX(ListeMatières,3)</f>
        <v>Magazines</v>
      </c>
      <c r="C11" s="153">
        <f>INDEX(tblMatières[Quantité déclarée (tonnes)],MATCH($B11,tblMatières[Matière],0))</f>
        <v>6696.5619999999999</v>
      </c>
      <c r="D11" s="166">
        <f>INDEX(tblMatières[Quantité générée (tonnes)],MATCH($B11,tblMatières[Matière],0))</f>
        <v>6696.5619999999999</v>
      </c>
      <c r="E11" s="166">
        <f>INDEX(tblMatières[Quantité récupérée (tonnes)],MATCH($B11,tblMatières[Matière],0))</f>
        <v>5734.7024889441509</v>
      </c>
      <c r="F11" s="166">
        <f t="shared" si="1"/>
        <v>961.859511055849</v>
      </c>
      <c r="G11" s="147">
        <f>INDEX(tblMatières[% récupération],MATCH($B11,tblMatières[Matière],0))</f>
        <v>0.85636517498742648</v>
      </c>
      <c r="H11" s="327">
        <f>INDEX(tblMatières[Coût net ACA],MATCH($B11,tblMatières[Matière],0))</f>
        <v>134.00499370673231</v>
      </c>
      <c r="I11" s="332">
        <f t="shared" si="2"/>
        <v>294.85000000000002</v>
      </c>
      <c r="J11" s="95">
        <v>268.89999999999998</v>
      </c>
      <c r="K11" s="371">
        <f t="shared" si="0"/>
        <v>9.6504276682781942E-2</v>
      </c>
    </row>
    <row r="12" spans="1:11">
      <c r="A12" s="38"/>
      <c r="B12" s="37" t="str">
        <f>INDEX(ListeMatières,4)</f>
        <v>Annuaires téléphoniques</v>
      </c>
      <c r="C12" s="153">
        <f>INDEX(tblMatières[Quantité déclarée (tonnes)],MATCH($B12,tblMatières[Matière],0))</f>
        <v>587.05999999999995</v>
      </c>
      <c r="D12" s="166">
        <f>INDEX(tblMatières[Quantité générée (tonnes)],MATCH($B12,tblMatières[Matière],0))</f>
        <v>587.05999999999995</v>
      </c>
      <c r="E12" s="166">
        <f>INDEX(tblMatières[Quantité récupérée (tonnes)],MATCH($B12,tblMatières[Matière],0))</f>
        <v>478.80496393624605</v>
      </c>
      <c r="F12" s="166">
        <f t="shared" si="1"/>
        <v>108.25503606375389</v>
      </c>
      <c r="G12" s="147">
        <f>INDEX(tblMatières[% récupération],MATCH($B12,tblMatières[Matière],0))</f>
        <v>0.81559800350261658</v>
      </c>
      <c r="H12" s="327">
        <f>INDEX(tblMatières[Coût net ACA],MATCH($B12,tblMatières[Matière],0))</f>
        <v>136.91850641542578</v>
      </c>
      <c r="I12" s="332">
        <f t="shared" si="2"/>
        <v>294.85000000000002</v>
      </c>
      <c r="J12" s="95">
        <v>268.89999999999998</v>
      </c>
      <c r="K12" s="371">
        <f t="shared" si="0"/>
        <v>9.6504276682781942E-2</v>
      </c>
    </row>
    <row r="13" spans="1:11">
      <c r="A13" s="38"/>
      <c r="B13" s="37" t="str">
        <f>INDEX(ListeMatières,5)</f>
        <v>Papier à usage général</v>
      </c>
      <c r="C13" s="153">
        <f>INDEX(tblMatières[Quantité déclarée (tonnes)],MATCH($B13,tblMatières[Matière],0))</f>
        <v>4563.4139999999998</v>
      </c>
      <c r="D13" s="166">
        <f>INDEX(tblMatières[Quantité générée (tonnes)],MATCH($B13,tblMatières[Matière],0))</f>
        <v>4563.4139999999998</v>
      </c>
      <c r="E13" s="166">
        <f>INDEX(tblMatières[Quantité récupérée (tonnes)],MATCH($B13,tblMatières[Matière],0))</f>
        <v>2592.2165645758855</v>
      </c>
      <c r="F13" s="166">
        <f t="shared" si="1"/>
        <v>1971.1974354241142</v>
      </c>
      <c r="G13" s="147">
        <f>INDEX(tblMatières[% récupération],MATCH($B13,tblMatières[Matière],0))</f>
        <v>0.56804325984359205</v>
      </c>
      <c r="H13" s="327">
        <f>INDEX(tblMatières[Coût net ACA],MATCH($B13,tblMatières[Matière],0))</f>
        <v>140.6341037332013</v>
      </c>
      <c r="I13" s="332">
        <f t="shared" si="2"/>
        <v>294.85000000000002</v>
      </c>
      <c r="J13" s="95">
        <v>268.89999999999998</v>
      </c>
      <c r="K13" s="371">
        <f t="shared" si="0"/>
        <v>9.6504276682781942E-2</v>
      </c>
    </row>
    <row r="14" spans="1:11">
      <c r="A14" s="38"/>
      <c r="B14" s="37" t="str">
        <f>INDEX(ListeMatières,6)</f>
        <v>Autres imprimés</v>
      </c>
      <c r="C14" s="153">
        <f>INDEX(tblMatières[Quantité déclarée (tonnes)],MATCH($B14,tblMatières[Matière],0))</f>
        <v>23867.183000000001</v>
      </c>
      <c r="D14" s="166">
        <f>INDEX(tblMatières[Quantité générée (tonnes)],MATCH($B14,tblMatières[Matière],0))</f>
        <v>23867.183000000001</v>
      </c>
      <c r="E14" s="166">
        <f>INDEX(tblMatières[Quantité récupérée (tonnes)],MATCH($B14,tblMatières[Matière],0))</f>
        <v>14881.538945703809</v>
      </c>
      <c r="F14" s="166">
        <f t="shared" si="1"/>
        <v>8985.6440542961918</v>
      </c>
      <c r="G14" s="147">
        <f>INDEX(tblMatières[% récupération],MATCH($B14,tblMatières[Matière],0))</f>
        <v>0.62351467895075041</v>
      </c>
      <c r="H14" s="327">
        <f>INDEX(tblMatières[Coût net ACA],MATCH($B14,tblMatières[Matière],0))</f>
        <v>149.16824374748973</v>
      </c>
      <c r="I14" s="332">
        <f t="shared" si="2"/>
        <v>294.85000000000002</v>
      </c>
      <c r="J14" s="95">
        <v>268.89999999999998</v>
      </c>
      <c r="K14" s="371">
        <f t="shared" si="0"/>
        <v>9.6504276682781942E-2</v>
      </c>
    </row>
    <row r="15" spans="1:11" ht="15.75" thickBot="1">
      <c r="A15" s="55" t="s">
        <v>31</v>
      </c>
      <c r="B15" s="20"/>
      <c r="C15" s="154">
        <f>SUBTOTAL(9,C9:C14)</f>
        <v>140337.019</v>
      </c>
      <c r="D15" s="167">
        <f t="shared" ref="D15:E15" si="3">SUBTOTAL(9,D9:D14)</f>
        <v>140337.019</v>
      </c>
      <c r="E15" s="167">
        <f t="shared" si="3"/>
        <v>112449.42539441548</v>
      </c>
      <c r="F15" s="167">
        <f t="shared" si="1"/>
        <v>27887.593605584523</v>
      </c>
      <c r="G15" s="150">
        <f>E15/D15</f>
        <v>0.8012812741477392</v>
      </c>
      <c r="H15" s="328"/>
      <c r="I15" s="333">
        <f>INDEX(rgTarif_TxFinal,MATCH($A15,Tarif!$B$11:$B$51,0))</f>
        <v>235.10240469330475</v>
      </c>
      <c r="J15" s="98">
        <v>212.01</v>
      </c>
      <c r="K15" s="372">
        <f t="shared" si="0"/>
        <v>0.1089212994354265</v>
      </c>
    </row>
    <row r="16" spans="1:11">
      <c r="A16" s="38"/>
      <c r="B16" s="35"/>
      <c r="C16" s="155"/>
      <c r="D16" s="168"/>
      <c r="E16" s="168"/>
      <c r="F16" s="168"/>
      <c r="G16" s="145"/>
      <c r="H16" s="329"/>
      <c r="I16" s="108"/>
      <c r="J16" s="107"/>
      <c r="K16" s="373"/>
    </row>
    <row r="17" spans="1:11">
      <c r="A17" s="43" t="s">
        <v>30</v>
      </c>
      <c r="B17" s="11"/>
      <c r="C17" s="156"/>
      <c r="D17" s="169"/>
      <c r="E17" s="169"/>
      <c r="F17" s="169"/>
      <c r="G17" s="146"/>
      <c r="H17" s="330"/>
      <c r="I17" s="133"/>
      <c r="J17" s="152"/>
      <c r="K17" s="374"/>
    </row>
    <row r="18" spans="1:11">
      <c r="A18" s="46" t="s">
        <v>208</v>
      </c>
      <c r="B18" s="37" t="str">
        <f>INDEX(ListeMatières,7)</f>
        <v>Carton ondulé</v>
      </c>
      <c r="C18" s="153">
        <f>INDEX(tblMatières[Quantité déclarée (tonnes)],MATCH($B18,tblMatières[Matière],0))</f>
        <v>57058.644</v>
      </c>
      <c r="D18" s="166">
        <f>INDEX(tblMatières[Quantité générée (tonnes)],MATCH($B18,tblMatières[Matière],0))</f>
        <v>57058.644</v>
      </c>
      <c r="E18" s="166">
        <f>INDEX(tblMatières[Quantité récupérée (tonnes)],MATCH($B18,tblMatières[Matière],0))</f>
        <v>44212.244562092688</v>
      </c>
      <c r="F18" s="166">
        <f t="shared" ref="F18:F47" si="4">D18-E18</f>
        <v>12846.399437907312</v>
      </c>
      <c r="G18" s="147">
        <f>INDEX(tblMatières[% récupération],MATCH($B18,tblMatières[Matière],0))</f>
        <v>0.77485620867703564</v>
      </c>
      <c r="H18" s="327">
        <f>INDEX(tblMatières[Coût net ACA],MATCH($B18,tblMatières[Matière],0))</f>
        <v>189.58985490400516</v>
      </c>
      <c r="I18" s="332">
        <f t="shared" ref="I18:I24" si="5">INDEX(rgTarif_TxFinal,MATCH($B18,rgTarif_Matières,0))</f>
        <v>183.93</v>
      </c>
      <c r="J18" s="95">
        <v>176.48</v>
      </c>
      <c r="K18" s="371">
        <f t="shared" ref="K18:K47" si="6">IF(J18&gt;0,I18/J18-1,0)</f>
        <v>4.2214415231187852E-2</v>
      </c>
    </row>
    <row r="19" spans="1:11">
      <c r="A19" s="46"/>
      <c r="B19" s="37" t="str">
        <f>INDEX(ListeMatières,8)</f>
        <v>Sacs de papier kraft</v>
      </c>
      <c r="C19" s="153">
        <f>INDEX(tblMatières[Quantité déclarée (tonnes)],MATCH($B19,tblMatières[Matière],0))</f>
        <v>3143.279</v>
      </c>
      <c r="D19" s="166">
        <f>INDEX(tblMatières[Quantité générée (tonnes)],MATCH($B19,tblMatières[Matière],0))</f>
        <v>3143.279</v>
      </c>
      <c r="E19" s="166">
        <f>INDEX(tblMatières[Quantité récupérée (tonnes)],MATCH($B19,tblMatières[Matière],0))</f>
        <v>1296.6666443451525</v>
      </c>
      <c r="F19" s="166">
        <f t="shared" si="4"/>
        <v>1846.6123556548475</v>
      </c>
      <c r="G19" s="147">
        <f>INDEX(tblMatières[% récupération],MATCH($B19,tblMatières[Matière],0))</f>
        <v>0.41252037898804161</v>
      </c>
      <c r="H19" s="327">
        <f>INDEX(tblMatières[Coût net ACA],MATCH($B19,tblMatières[Matière],0))</f>
        <v>189.58985490400516</v>
      </c>
      <c r="I19" s="332">
        <f t="shared" si="5"/>
        <v>183.93</v>
      </c>
      <c r="J19" s="95">
        <v>176.48</v>
      </c>
      <c r="K19" s="371">
        <f t="shared" si="6"/>
        <v>4.2214415231187852E-2</v>
      </c>
    </row>
    <row r="20" spans="1:11">
      <c r="A20" s="46"/>
      <c r="B20" s="37" t="str">
        <f>INDEX(ListeMatières,9)</f>
        <v>Emballages de papier kraft</v>
      </c>
      <c r="C20" s="153">
        <f>INDEX(tblMatières[Quantité déclarée (tonnes)],MATCH($B20,tblMatières[Matière],0))</f>
        <v>1981.269</v>
      </c>
      <c r="D20" s="166">
        <f>INDEX(tblMatières[Quantité générée (tonnes)],MATCH($B20,tblMatières[Matière],0))</f>
        <v>1981.269</v>
      </c>
      <c r="E20" s="166">
        <f>INDEX(tblMatières[Quantité récupérée (tonnes)],MATCH($B20,tblMatières[Matière],0))</f>
        <v>459.17324899062658</v>
      </c>
      <c r="F20" s="166">
        <f t="shared" si="4"/>
        <v>1522.0957510093735</v>
      </c>
      <c r="G20" s="147">
        <f>INDEX(tblMatières[% récupération],MATCH($B20,tblMatières[Matière],0))</f>
        <v>0.23175714604661285</v>
      </c>
      <c r="H20" s="327">
        <f>INDEX(tblMatières[Coût net ACA],MATCH($B20,tblMatières[Matière],0))</f>
        <v>189.58985490400516</v>
      </c>
      <c r="I20" s="332">
        <f t="shared" si="5"/>
        <v>183.93</v>
      </c>
      <c r="J20" s="95">
        <v>176.48</v>
      </c>
      <c r="K20" s="371">
        <f t="shared" si="6"/>
        <v>4.2214415231187852E-2</v>
      </c>
    </row>
    <row r="21" spans="1:11">
      <c r="A21" s="46"/>
      <c r="B21" s="37" t="str">
        <f>INDEX(ListeMatières,10)</f>
        <v>Carton plat et autres emballages de papier</v>
      </c>
      <c r="C21" s="153">
        <f>INDEX(tblMatières[Quantité déclarée (tonnes)],MATCH($B21,tblMatières[Matière],0))</f>
        <v>89357.737999999998</v>
      </c>
      <c r="D21" s="166">
        <f>INDEX(tblMatières[Quantité générée (tonnes)],MATCH($B21,tblMatières[Matière],0))</f>
        <v>89357.737999999998</v>
      </c>
      <c r="E21" s="166">
        <f>INDEX(tblMatières[Quantité récupérée (tonnes)],MATCH($B21,tblMatières[Matière],0))</f>
        <v>55290.317194879237</v>
      </c>
      <c r="F21" s="166">
        <f t="shared" si="4"/>
        <v>34067.420805120761</v>
      </c>
      <c r="G21" s="147">
        <f>INDEX(tblMatières[% récupération],MATCH($B21,tblMatières[Matière],0))</f>
        <v>0.61875242628544647</v>
      </c>
      <c r="H21" s="327">
        <f>INDEX(tblMatières[Coût net ACA],MATCH($B21,tblMatières[Matière],0))</f>
        <v>183.21087432183018</v>
      </c>
      <c r="I21" s="332">
        <f t="shared" si="5"/>
        <v>201.48</v>
      </c>
      <c r="J21" s="95">
        <v>193.96</v>
      </c>
      <c r="K21" s="371">
        <f t="shared" si="6"/>
        <v>3.8770880593936852E-2</v>
      </c>
    </row>
    <row r="22" spans="1:11">
      <c r="A22" s="46"/>
      <c r="B22" s="37" t="str">
        <f>INDEX(ListeMatières,11)</f>
        <v>Contenants à pignon</v>
      </c>
      <c r="C22" s="153">
        <f>INDEX(tblMatières[Quantité déclarée (tonnes)],MATCH($B22,tblMatières[Matière],0))</f>
        <v>10642.311</v>
      </c>
      <c r="D22" s="166">
        <f>INDEX(tblMatières[Quantité générée (tonnes)],MATCH($B22,tblMatières[Matière],0))</f>
        <v>10642.311</v>
      </c>
      <c r="E22" s="166">
        <f>INDEX(tblMatières[Quantité récupérée (tonnes)],MATCH($B22,tblMatières[Matière],0))</f>
        <v>8288.6371859637784</v>
      </c>
      <c r="F22" s="166">
        <f t="shared" si="4"/>
        <v>2353.6738140362213</v>
      </c>
      <c r="G22" s="147">
        <f>INDEX(tblMatières[% récupération],MATCH($B22,tblMatières[Matière],0))</f>
        <v>0.77883809127207226</v>
      </c>
      <c r="H22" s="327">
        <f>INDEX(tblMatières[Coût net ACA],MATCH($B22,tblMatières[Matière],0))</f>
        <v>214.52796325511571</v>
      </c>
      <c r="I22" s="332">
        <f t="shared" si="5"/>
        <v>191.7</v>
      </c>
      <c r="J22" s="95">
        <v>187.44</v>
      </c>
      <c r="K22" s="371">
        <f t="shared" si="6"/>
        <v>2.2727272727272707E-2</v>
      </c>
    </row>
    <row r="23" spans="1:11">
      <c r="A23" s="46"/>
      <c r="B23" s="37" t="str">
        <f>INDEX(ListeMatières,12)</f>
        <v>Laminés de papier</v>
      </c>
      <c r="C23" s="153">
        <f>INDEX(tblMatières[Quantité déclarée (tonnes)],MATCH($B23,tblMatières[Matière],0))</f>
        <v>13221.805</v>
      </c>
      <c r="D23" s="166">
        <f>INDEX(tblMatières[Quantité générée (tonnes)],MATCH($B23,tblMatières[Matière],0))</f>
        <v>13221.805</v>
      </c>
      <c r="E23" s="166">
        <f>INDEX(tblMatières[Quantité récupérée (tonnes)],MATCH($B23,tblMatières[Matière],0))</f>
        <v>4420.5794650618791</v>
      </c>
      <c r="F23" s="166">
        <f t="shared" si="4"/>
        <v>8801.2255349381212</v>
      </c>
      <c r="G23" s="147">
        <f>INDEX(tblMatières[% récupération],MATCH($B23,tblMatières[Matière],0))</f>
        <v>0.33434008934951615</v>
      </c>
      <c r="H23" s="327">
        <f>INDEX(tblMatières[Coût net ACA],MATCH($B23,tblMatières[Matière],0))</f>
        <v>264.23775213574299</v>
      </c>
      <c r="I23" s="332">
        <f t="shared" si="5"/>
        <v>288.32</v>
      </c>
      <c r="J23" s="95">
        <v>274.32</v>
      </c>
      <c r="K23" s="371">
        <f t="shared" si="6"/>
        <v>5.1035287255759787E-2</v>
      </c>
    </row>
    <row r="24" spans="1:11">
      <c r="A24" s="46"/>
      <c r="B24" s="37" t="str">
        <f>INDEX(ListeMatières,13)</f>
        <v>Contenants aseptiques</v>
      </c>
      <c r="C24" s="153">
        <f>INDEX(tblMatières[Quantité déclarée (tonnes)],MATCH($B24,tblMatières[Matière],0))</f>
        <v>5960.89</v>
      </c>
      <c r="D24" s="166">
        <f>INDEX(tblMatières[Quantité générée (tonnes)],MATCH($B24,tblMatières[Matière],0))</f>
        <v>5960.89</v>
      </c>
      <c r="E24" s="166">
        <f>INDEX(tblMatières[Quantité récupérée (tonnes)],MATCH($B24,tblMatières[Matière],0))</f>
        <v>3275.4908245800875</v>
      </c>
      <c r="F24" s="166">
        <f t="shared" si="4"/>
        <v>2685.3991754199128</v>
      </c>
      <c r="G24" s="147">
        <f>INDEX(tblMatières[% récupération],MATCH($B24,tblMatières[Matière],0))</f>
        <v>0.54949694166141083</v>
      </c>
      <c r="H24" s="327">
        <f>INDEX(tblMatières[Coût net ACA],MATCH($B24,tblMatières[Matière],0))</f>
        <v>224.52450204177239</v>
      </c>
      <c r="I24" s="332">
        <f t="shared" si="5"/>
        <v>235.11</v>
      </c>
      <c r="J24" s="95">
        <v>223.75</v>
      </c>
      <c r="K24" s="371">
        <f t="shared" si="6"/>
        <v>5.0770949720670533E-2</v>
      </c>
    </row>
    <row r="25" spans="1:11">
      <c r="A25" s="43" t="s">
        <v>209</v>
      </c>
      <c r="B25" s="10"/>
      <c r="C25" s="157">
        <f>SUBTOTAL(9,C18:C24)</f>
        <v>181365.93599999999</v>
      </c>
      <c r="D25" s="170">
        <f t="shared" ref="D25:E25" si="7">SUBTOTAL(9,D18:D24)</f>
        <v>181365.93599999999</v>
      </c>
      <c r="E25" s="170">
        <f t="shared" si="7"/>
        <v>117243.10912591344</v>
      </c>
      <c r="F25" s="170">
        <f t="shared" si="4"/>
        <v>64122.826874086546</v>
      </c>
      <c r="G25" s="151">
        <f>E25/D25</f>
        <v>0.64644503654706942</v>
      </c>
      <c r="H25" s="331"/>
      <c r="I25" s="334">
        <f>INDEX(rgTarif_TxFinal,MATCH($A25,Tarif!$B$11:$B$51,0))</f>
        <v>202.32497375361604</v>
      </c>
      <c r="J25" s="103">
        <v>194.05</v>
      </c>
      <c r="K25" s="375">
        <f t="shared" si="6"/>
        <v>4.2643513288410428E-2</v>
      </c>
    </row>
    <row r="26" spans="1:11">
      <c r="A26" s="46" t="s">
        <v>22</v>
      </c>
      <c r="B26" s="37" t="str">
        <f>INDEX(ListeMatières,14)</f>
        <v>Bouteilles PET</v>
      </c>
      <c r="C26" s="153">
        <f>INDEX(tblMatières[Quantité déclarée (tonnes)],MATCH($B26,tblMatières[Matière],0))</f>
        <v>28454.071</v>
      </c>
      <c r="D26" s="166">
        <f>INDEX(tblMatières[Quantité générée (tonnes)],MATCH($B26,tblMatières[Matière],0))</f>
        <v>28454.071</v>
      </c>
      <c r="E26" s="166">
        <f>INDEX(tblMatières[Quantité récupérée (tonnes)],MATCH($B26,tblMatières[Matière],0))</f>
        <v>19296.023522834832</v>
      </c>
      <c r="F26" s="166">
        <f t="shared" si="4"/>
        <v>9158.0474771651679</v>
      </c>
      <c r="G26" s="147">
        <f>INDEX(tblMatières[% récupération],MATCH($B26,tblMatières[Matière],0))</f>
        <v>0.67814631947867254</v>
      </c>
      <c r="H26" s="327">
        <f>INDEX(tblMatières[Coût net ACA],MATCH($B26,tblMatières[Matière],0))</f>
        <v>291.78108775449766</v>
      </c>
      <c r="I26" s="332">
        <f t="shared" ref="I26:I36" si="8">INDEX(rgTarif_TxFinal,MATCH($B26,rgTarif_Matières,0))</f>
        <v>285.41000000000003</v>
      </c>
      <c r="J26" s="95">
        <v>274.41000000000003</v>
      </c>
      <c r="K26" s="371">
        <f t="shared" ref="K26:K37" si="9">IF(J26&gt;0,I26/J26-1,0)</f>
        <v>4.0086002696694711E-2</v>
      </c>
    </row>
    <row r="27" spans="1:11">
      <c r="A27" s="38"/>
      <c r="B27" s="37" t="str">
        <f>INDEX(ListeMatières,15)</f>
        <v>Bouteilles HDPE</v>
      </c>
      <c r="C27" s="153">
        <f>INDEX(tblMatières[Quantité déclarée (tonnes)],MATCH($B27,tblMatières[Matière],0))</f>
        <v>19105.120999999999</v>
      </c>
      <c r="D27" s="166">
        <f>INDEX(tblMatières[Quantité générée (tonnes)],MATCH($B27,tblMatières[Matière],0))</f>
        <v>19105.120999999999</v>
      </c>
      <c r="E27" s="166">
        <f>INDEX(tblMatières[Quantité récupérée (tonnes)],MATCH($B27,tblMatières[Matière],0))</f>
        <v>12997.599355643866</v>
      </c>
      <c r="F27" s="166">
        <f t="shared" si="4"/>
        <v>6107.521644356133</v>
      </c>
      <c r="G27" s="147">
        <f>INDEX(tblMatières[% récupération],MATCH($B27,tblMatières[Matière],0))</f>
        <v>0.68032017989542526</v>
      </c>
      <c r="H27" s="327">
        <f>INDEX(tblMatières[Coût net ACA],MATCH($B27,tblMatières[Matière],0))</f>
        <v>11.681916552419466</v>
      </c>
      <c r="I27" s="332">
        <f t="shared" si="8"/>
        <v>109.83</v>
      </c>
      <c r="J27" s="95">
        <v>107.17</v>
      </c>
      <c r="K27" s="371">
        <f t="shared" si="9"/>
        <v>2.4820378837361101E-2</v>
      </c>
    </row>
    <row r="28" spans="1:11">
      <c r="A28" s="38"/>
      <c r="B28" s="37" t="str">
        <f>INDEX(ListeMatières,16)</f>
        <v>Plastiques stratifiés</v>
      </c>
      <c r="C28" s="153">
        <f>INDEX(tblMatières[Quantité déclarée (tonnes)],MATCH($B28,tblMatières[Matière],0))</f>
        <v>18345.511999999999</v>
      </c>
      <c r="D28" s="166">
        <f>INDEX(tblMatières[Quantité générée (tonnes)],MATCH($B28,tblMatières[Matière],0))</f>
        <v>18345.511999999999</v>
      </c>
      <c r="E28" s="166">
        <f>INDEX(tblMatières[Quantité récupérée (tonnes)],MATCH($B28,tblMatières[Matière],0))</f>
        <v>2963.9007205395051</v>
      </c>
      <c r="F28" s="166">
        <f t="shared" si="4"/>
        <v>15381.611279460494</v>
      </c>
      <c r="G28" s="147">
        <f>INDEX(tblMatières[% récupération],MATCH($B28,tblMatières[Matière],0))</f>
        <v>0.16155998919733094</v>
      </c>
      <c r="H28" s="327">
        <f>INDEX(tblMatières[Coût net ACA],MATCH($B28,tblMatières[Matière],0))</f>
        <v>662.98615524918216</v>
      </c>
      <c r="I28" s="332">
        <f t="shared" si="8"/>
        <v>474.33</v>
      </c>
      <c r="J28" s="95">
        <v>446.84</v>
      </c>
      <c r="K28" s="371">
        <f t="shared" si="9"/>
        <v>6.1520902336406724E-2</v>
      </c>
    </row>
    <row r="29" spans="1:11">
      <c r="A29" s="38"/>
      <c r="B29" s="37" t="str">
        <f>INDEX(ListeMatières,17)</f>
        <v>Pellicules HDPE et LDPE</v>
      </c>
      <c r="C29" s="153">
        <f>INDEX(tblMatières[Quantité déclarée (tonnes)],MATCH($B29,tblMatières[Matière],0))</f>
        <v>20600.752</v>
      </c>
      <c r="D29" s="166">
        <f>INDEX(tblMatières[Quantité générée (tonnes)],MATCH($B29,tblMatières[Matière],0))</f>
        <v>20600.752</v>
      </c>
      <c r="E29" s="166">
        <f>INDEX(tblMatières[Quantité récupérée (tonnes)],MATCH($B29,tblMatières[Matière],0))</f>
        <v>7167.664015781269</v>
      </c>
      <c r="F29" s="166">
        <f t="shared" si="4"/>
        <v>13433.087984218731</v>
      </c>
      <c r="G29" s="147">
        <f>INDEX(tblMatières[% récupération],MATCH($B29,tblMatières[Matière],0))</f>
        <v>0.34793215392240384</v>
      </c>
      <c r="H29" s="327">
        <f>INDEX(tblMatières[Coût net ACA],MATCH($B29,tblMatières[Matière],0))</f>
        <v>617.01263704162488</v>
      </c>
      <c r="I29" s="332">
        <f t="shared" si="8"/>
        <v>474.33</v>
      </c>
      <c r="J29" s="95">
        <v>446.84</v>
      </c>
      <c r="K29" s="371">
        <f t="shared" si="9"/>
        <v>6.1520902336406724E-2</v>
      </c>
    </row>
    <row r="30" spans="1:11">
      <c r="A30" s="38"/>
      <c r="B30" s="37" t="str">
        <f>INDEX(ListeMatières,18)</f>
        <v>Sacs d'emplettes de pellicules HDPE et LDPE</v>
      </c>
      <c r="C30" s="153">
        <f>INDEX(tblMatières[Quantité déclarée (tonnes)],MATCH($B30,tblMatières[Matière],0))</f>
        <v>8808.5460000000003</v>
      </c>
      <c r="D30" s="166">
        <f>INDEX(tblMatières[Quantité générée (tonnes)],MATCH($B30,tblMatières[Matière],0))</f>
        <v>8808.5460000000003</v>
      </c>
      <c r="E30" s="166">
        <f>INDEX(tblMatières[Quantité récupérée (tonnes)],MATCH($B30,tblMatières[Matière],0))</f>
        <v>1388.0863033855567</v>
      </c>
      <c r="F30" s="166">
        <f t="shared" si="4"/>
        <v>7420.4596966144436</v>
      </c>
      <c r="G30" s="147">
        <f>INDEX(tblMatières[% récupération],MATCH($B30,tblMatières[Matière],0))</f>
        <v>0.15758404433439488</v>
      </c>
      <c r="H30" s="327">
        <f>INDEX(tblMatières[Coût net ACA],MATCH($B30,tblMatières[Matière],0))</f>
        <v>617.01263704162488</v>
      </c>
      <c r="I30" s="332">
        <f t="shared" si="8"/>
        <v>474.33</v>
      </c>
      <c r="J30" s="95">
        <v>446.84</v>
      </c>
      <c r="K30" s="371">
        <f t="shared" si="9"/>
        <v>6.1520902336406724E-2</v>
      </c>
    </row>
    <row r="31" spans="1:11">
      <c r="A31" s="38"/>
      <c r="B31" s="37" t="str">
        <f>INDEX(ListeMatières,19)</f>
        <v>Polystyrène expansé alimentaire</v>
      </c>
      <c r="C31" s="153">
        <f>INDEX(tblMatières[Quantité déclarée (tonnes)],MATCH($B31,tblMatières[Matière],0))</f>
        <v>3577.489</v>
      </c>
      <c r="D31" s="166">
        <f>INDEX(tblMatières[Quantité générée (tonnes)],MATCH($B31,tblMatières[Matière],0))</f>
        <v>3577.489</v>
      </c>
      <c r="E31" s="166">
        <f>INDEX(tblMatières[Quantité récupérée (tonnes)],MATCH($B31,tblMatières[Matière],0))</f>
        <v>412.94510310858072</v>
      </c>
      <c r="F31" s="166">
        <f t="shared" si="4"/>
        <v>3164.5438968914195</v>
      </c>
      <c r="G31" s="147">
        <f>INDEX(tblMatières[% récupération],MATCH($B31,tblMatières[Matière],0))</f>
        <v>0.11542875550660833</v>
      </c>
      <c r="H31" s="327">
        <f>INDEX(tblMatières[Coût net ACA],MATCH($B31,tblMatières[Matière],0))</f>
        <v>2351.7130183301038</v>
      </c>
      <c r="I31" s="332">
        <f t="shared" si="8"/>
        <v>793.43</v>
      </c>
      <c r="J31" s="95">
        <v>735.44</v>
      </c>
      <c r="K31" s="371">
        <f t="shared" si="9"/>
        <v>7.8850756010007572E-2</v>
      </c>
    </row>
    <row r="32" spans="1:11">
      <c r="A32" s="250"/>
      <c r="B32" s="37" t="str">
        <f>INDEX(ListeMatières,20)</f>
        <v>Polystyrène expansé de protection</v>
      </c>
      <c r="C32" s="153">
        <f>INDEX(tblMatières[Quantité déclarée (tonnes)],MATCH($B32,tblMatières[Matière],0))</f>
        <v>1653.914</v>
      </c>
      <c r="D32" s="166">
        <f>INDEX(tblMatières[Quantité générée (tonnes)],MATCH($B32,tblMatières[Matière],0))</f>
        <v>1653.914</v>
      </c>
      <c r="E32" s="166">
        <f>INDEX(tblMatières[Quantité récupérée (tonnes)],MATCH($B32,tblMatières[Matière],0))</f>
        <v>620.3989827377784</v>
      </c>
      <c r="F32" s="166">
        <f t="shared" si="4"/>
        <v>1033.5150172622216</v>
      </c>
      <c r="G32" s="147">
        <f>INDEX(tblMatières[% récupération],MATCH($B32,tblMatières[Matière],0))</f>
        <v>0.37510957809038342</v>
      </c>
      <c r="H32" s="327">
        <f>INDEX(tblMatières[Coût net ACA],MATCH($B32,tblMatières[Matière],0))</f>
        <v>2351.7130183301038</v>
      </c>
      <c r="I32" s="332">
        <f t="shared" si="8"/>
        <v>793.43</v>
      </c>
      <c r="J32" s="95">
        <v>735.44</v>
      </c>
      <c r="K32" s="371">
        <f>IF(J32&gt;0,I32/J32-1,0)</f>
        <v>7.8850756010007572E-2</v>
      </c>
    </row>
    <row r="33" spans="1:11">
      <c r="A33" s="38"/>
      <c r="B33" s="37" t="str">
        <f>INDEX(ListeMatières,21)</f>
        <v>Polystyrène non expansé</v>
      </c>
      <c r="C33" s="153">
        <f>INDEX(tblMatières[Quantité déclarée (tonnes)],MATCH($B33,tblMatières[Matière],0))</f>
        <v>4424.2470000000003</v>
      </c>
      <c r="D33" s="166">
        <f>INDEX(tblMatières[Quantité générée (tonnes)],MATCH($B33,tblMatières[Matière],0))</f>
        <v>4424.2470000000003</v>
      </c>
      <c r="E33" s="166">
        <f>INDEX(tblMatières[Quantité récupérée (tonnes)],MATCH($B33,tblMatières[Matière],0))</f>
        <v>1100.7673069345703</v>
      </c>
      <c r="F33" s="166">
        <f t="shared" si="4"/>
        <v>3323.4796930654302</v>
      </c>
      <c r="G33" s="147">
        <f>INDEX(tblMatières[% récupération],MATCH($B33,tblMatières[Matière],0))</f>
        <v>0.24880331205164863</v>
      </c>
      <c r="H33" s="327">
        <f>INDEX(tblMatières[Coût net ACA],MATCH($B33,tblMatières[Matière],0))</f>
        <v>438.22931756692185</v>
      </c>
      <c r="I33" s="332">
        <f t="shared" si="8"/>
        <v>793.43</v>
      </c>
      <c r="J33" s="95">
        <v>735.44</v>
      </c>
      <c r="K33" s="371">
        <f t="shared" si="9"/>
        <v>7.8850756010007572E-2</v>
      </c>
    </row>
    <row r="34" spans="1:11">
      <c r="A34" s="38"/>
      <c r="B34" s="37" t="str">
        <f>INDEX(ListeMatières,22)</f>
        <v>Contenants de PET</v>
      </c>
      <c r="C34" s="153">
        <f>INDEX(tblMatières[Quantité déclarée (tonnes)],MATCH($B34,tblMatières[Matière],0))</f>
        <v>7889.152</v>
      </c>
      <c r="D34" s="166">
        <f>INDEX(tblMatières[Quantité générée (tonnes)],MATCH($B34,tblMatières[Matière],0))</f>
        <v>7889.152</v>
      </c>
      <c r="E34" s="166">
        <f>INDEX(tblMatières[Quantité récupérée (tonnes)],MATCH($B34,tblMatières[Matière],0))</f>
        <v>4517.3086635484415</v>
      </c>
      <c r="F34" s="166">
        <f t="shared" si="4"/>
        <v>3371.8433364515586</v>
      </c>
      <c r="G34" s="147">
        <f>INDEX(tblMatières[% récupération],MATCH($B34,tblMatières[Matière],0))</f>
        <v>0.57259749381789593</v>
      </c>
      <c r="H34" s="327">
        <f>INDEX(tblMatières[Coût net ACA],MATCH($B34,tblMatières[Matière],0))</f>
        <v>390.62426095491492</v>
      </c>
      <c r="I34" s="332">
        <f t="shared" si="8"/>
        <v>285.41000000000003</v>
      </c>
      <c r="J34" s="95">
        <v>274.41000000000003</v>
      </c>
      <c r="K34" s="371">
        <f t="shared" si="9"/>
        <v>4.0086002696694711E-2</v>
      </c>
    </row>
    <row r="35" spans="1:11">
      <c r="A35" s="37"/>
      <c r="B35" s="37" t="str">
        <f>INDEX(ListeMatières,23)</f>
        <v>PVC, acide polylactique (PLA) et autres plastiques dégradables</v>
      </c>
      <c r="C35" s="166">
        <f>INDEX(tblMatières[Quantité déclarée (tonnes)],MATCH($B35,tblMatières[Matière],0))</f>
        <v>491.197</v>
      </c>
      <c r="D35" s="166">
        <f>INDEX(tblMatières[Quantité générée (tonnes)],MATCH($B35,tblMatières[Matière],0))</f>
        <v>491.197</v>
      </c>
      <c r="E35" s="166">
        <f>INDEX(tblMatières[Quantité récupérée (tonnes)],MATCH($B35,tblMatières[Matière],0))</f>
        <v>268.19356200000004</v>
      </c>
      <c r="F35" s="166">
        <f t="shared" si="4"/>
        <v>223.00343799999996</v>
      </c>
      <c r="G35" s="147">
        <f>INDEX(tblMatières[% récupération],MATCH($B35,tblMatières[Matière],0))</f>
        <v>0.54600000000000004</v>
      </c>
      <c r="H35" s="327">
        <f>INDEX(tblMatières[Coût net ACA],MATCH($B35,tblMatières[Matière],0))</f>
        <v>270.04724250469019</v>
      </c>
      <c r="I35" s="332">
        <f t="shared" si="8"/>
        <v>793.43</v>
      </c>
      <c r="J35" s="95">
        <v>735.44</v>
      </c>
      <c r="K35" s="371">
        <f t="shared" si="9"/>
        <v>7.8850756010007572E-2</v>
      </c>
    </row>
    <row r="36" spans="1:11">
      <c r="A36" s="40"/>
      <c r="B36" s="233" t="str">
        <f>INDEX(ListeMatières,24)</f>
        <v>Autres plastiques, polymères et polyuréthanne</v>
      </c>
      <c r="C36" s="153">
        <f>INDEX(tblMatières[Quantité déclarée (tonnes)],MATCH($B36,tblMatières[Matière],0))</f>
        <v>33909.735999999997</v>
      </c>
      <c r="D36" s="166">
        <f>INDEX(tblMatières[Quantité générée (tonnes)],MATCH($B36,tblMatières[Matière],0))</f>
        <v>33909.735999999997</v>
      </c>
      <c r="E36" s="166">
        <f>INDEX(tblMatières[Quantité récupérée (tonnes)],MATCH($B36,tblMatières[Matière],0))</f>
        <v>14808.56401630154</v>
      </c>
      <c r="F36" s="166">
        <f t="shared" ref="F36" si="10">D36-E36</f>
        <v>19101.171983698456</v>
      </c>
      <c r="G36" s="147">
        <f>INDEX(tblMatières[% récupération],MATCH($B36,tblMatières[Matière],0))</f>
        <v>0.43670537618758049</v>
      </c>
      <c r="H36" s="327">
        <f>INDEX(tblMatières[Coût net ACA],MATCH($B36,tblMatières[Matière],0))</f>
        <v>265.42817547497322</v>
      </c>
      <c r="I36" s="332">
        <f t="shared" si="8"/>
        <v>288.37</v>
      </c>
      <c r="J36" s="95">
        <v>277.57</v>
      </c>
      <c r="K36" s="371">
        <f t="shared" ref="K36" si="11">IF(J36&gt;0,I36/J36-1,0)</f>
        <v>3.89091040097993E-2</v>
      </c>
    </row>
    <row r="37" spans="1:11">
      <c r="A37" s="43" t="s">
        <v>33</v>
      </c>
      <c r="B37" s="10"/>
      <c r="C37" s="157">
        <f>SUBTOTAL(9,C26:C35)</f>
        <v>113350.00100000002</v>
      </c>
      <c r="D37" s="170">
        <f>SUBTOTAL(9,D26:D35)</f>
        <v>113350.00100000002</v>
      </c>
      <c r="E37" s="170">
        <f>SUBTOTAL(9,E26:E35)</f>
        <v>50732.887536514405</v>
      </c>
      <c r="F37" s="170">
        <f t="shared" si="4"/>
        <v>62617.113463485613</v>
      </c>
      <c r="G37" s="151">
        <f>E37/D37</f>
        <v>0.44757730118162414</v>
      </c>
      <c r="H37" s="331"/>
      <c r="I37" s="334">
        <f>INDEX(rgTarif_TxFinal,MATCH($A37,Tarif!$B$11:$B$51,0))</f>
        <v>359.58190750191261</v>
      </c>
      <c r="J37" s="103">
        <v>342.35</v>
      </c>
      <c r="K37" s="375">
        <f t="shared" si="9"/>
        <v>5.0334182859391285E-2</v>
      </c>
    </row>
    <row r="38" spans="1:11">
      <c r="A38" s="46" t="s">
        <v>39</v>
      </c>
      <c r="B38" s="37" t="str">
        <f>INDEX(ListeMatières,25)</f>
        <v>Contenants pour aliments et breuvages en aluminium</v>
      </c>
      <c r="C38" s="153">
        <f>INDEX(tblMatières[Quantité déclarée (tonnes)],MATCH($B38,tblMatières[Matière],0))</f>
        <v>2854.9569999999999</v>
      </c>
      <c r="D38" s="166">
        <f>INDEX(tblMatières[Quantité générée (tonnes)],MATCH($B38,tblMatières[Matière],0))</f>
        <v>2854.9569999999999</v>
      </c>
      <c r="E38" s="166">
        <f>INDEX(tblMatières[Quantité récupérée (tonnes)],MATCH($B38,tblMatières[Matière],0))</f>
        <v>1376.4950426958128</v>
      </c>
      <c r="F38" s="166">
        <f t="shared" si="4"/>
        <v>1478.4619573041871</v>
      </c>
      <c r="G38" s="147">
        <f>INDEX(tblMatières[% récupération],MATCH($B38,tblMatières[Matière],0))</f>
        <v>0.48214212777839133</v>
      </c>
      <c r="H38" s="327">
        <f>INDEX(tblMatières[Coût net ACA],MATCH($B38,tblMatières[Matière],0))</f>
        <v>-183.01145752758737</v>
      </c>
      <c r="I38" s="332">
        <f>INDEX(rgTarif_TxFinal,MATCH($B38,rgTarif_Matières,0))</f>
        <v>181.44</v>
      </c>
      <c r="J38" s="95">
        <v>168.66</v>
      </c>
      <c r="K38" s="371">
        <f t="shared" si="6"/>
        <v>7.5773745997865571E-2</v>
      </c>
    </row>
    <row r="39" spans="1:11">
      <c r="A39" s="46"/>
      <c r="B39" s="37" t="str">
        <f>INDEX(ListeMatières,26)</f>
        <v>Autres contenants et emballages en aluminium</v>
      </c>
      <c r="C39" s="153">
        <f>INDEX(tblMatières[Quantité déclarée (tonnes)],MATCH($B39,tblMatières[Matière],0))</f>
        <v>4823.9380000000001</v>
      </c>
      <c r="D39" s="166">
        <f>INDEX(tblMatières[Quantité générée (tonnes)],MATCH($B39,tblMatières[Matière],0))</f>
        <v>4823.9380000000001</v>
      </c>
      <c r="E39" s="166">
        <f>INDEX(tblMatières[Quantité récupérée (tonnes)],MATCH($B39,tblMatières[Matière],0))</f>
        <v>483.96942592726941</v>
      </c>
      <c r="F39" s="166">
        <f t="shared" si="4"/>
        <v>4339.9685740727309</v>
      </c>
      <c r="G39" s="147">
        <f>INDEX(tblMatières[% récupération],MATCH($B39,tblMatières[Matière],0))</f>
        <v>0.10032662648799993</v>
      </c>
      <c r="H39" s="327">
        <f>INDEX(tblMatières[Coût net ACA],MATCH($B39,tblMatières[Matière],0))</f>
        <v>-12.515239094909077</v>
      </c>
      <c r="I39" s="332">
        <f>INDEX(rgTarif_TxFinal,MATCH($B39,rgTarif_Matières,0))</f>
        <v>181.44</v>
      </c>
      <c r="J39" s="95">
        <v>168.66</v>
      </c>
      <c r="K39" s="371">
        <f t="shared" si="6"/>
        <v>7.5773745997865571E-2</v>
      </c>
    </row>
    <row r="40" spans="1:11">
      <c r="A40" s="43" t="s">
        <v>55</v>
      </c>
      <c r="B40" s="10"/>
      <c r="C40" s="157">
        <f>SUBTOTAL(9,C38:C39)</f>
        <v>7678.8950000000004</v>
      </c>
      <c r="D40" s="170">
        <f t="shared" ref="D40:E40" si="12">SUBTOTAL(9,D38:D39)</f>
        <v>7678.8950000000004</v>
      </c>
      <c r="E40" s="170">
        <f t="shared" si="12"/>
        <v>1860.4644686230822</v>
      </c>
      <c r="F40" s="170">
        <f t="shared" si="4"/>
        <v>5818.4305313769182</v>
      </c>
      <c r="G40" s="151">
        <f>E40/D40</f>
        <v>0.24228283739041648</v>
      </c>
      <c r="H40" s="331"/>
      <c r="I40" s="334">
        <f>INDEX(rgTarif_TxFinal,MATCH($A40,Tarif!$B$11:$B$51,0))</f>
        <v>181.43999999999997</v>
      </c>
      <c r="J40" s="103">
        <v>168.66</v>
      </c>
      <c r="K40" s="375">
        <f t="shared" si="6"/>
        <v>7.5773745997865349E-2</v>
      </c>
    </row>
    <row r="41" spans="1:11">
      <c r="A41" s="46" t="s">
        <v>38</v>
      </c>
      <c r="B41" s="37" t="str">
        <f>INDEX(ListeMatières,27)</f>
        <v>Bombes aérosol en acier</v>
      </c>
      <c r="C41" s="153">
        <f>INDEX(tblMatières[Quantité déclarée (tonnes)],MATCH($B41,tblMatières[Matière],0))</f>
        <v>2430.7779999999998</v>
      </c>
      <c r="D41" s="166">
        <f>INDEX(tblMatières[Quantité générée (tonnes)],MATCH($B41,tblMatières[Matière],0))</f>
        <v>2430.7779999999998</v>
      </c>
      <c r="E41" s="166">
        <f>INDEX(tblMatières[Quantité récupérée (tonnes)],MATCH($B41,tblMatières[Matière],0))</f>
        <v>426.11538339999998</v>
      </c>
      <c r="F41" s="166">
        <f t="shared" si="4"/>
        <v>2004.6626165999999</v>
      </c>
      <c r="G41" s="147">
        <f>INDEX(tblMatières[% récupération],MATCH($B41,tblMatières[Matière],0))</f>
        <v>0.17530000000000001</v>
      </c>
      <c r="H41" s="327">
        <f>INDEX(tblMatières[Coût net ACA],MATCH($B41,tblMatières[Matière],0))</f>
        <v>52.890354432941081</v>
      </c>
      <c r="I41" s="332">
        <f>INDEX(rgTarif_TxFinal,MATCH($B41,rgTarif_Matières,0))</f>
        <v>173.22</v>
      </c>
      <c r="J41" s="95">
        <v>168.91</v>
      </c>
      <c r="K41" s="371">
        <f>IF(J41&gt;0,I41/J41-1,0)</f>
        <v>2.5516547273696011E-2</v>
      </c>
    </row>
    <row r="42" spans="1:11">
      <c r="A42" s="46"/>
      <c r="B42" s="37" t="str">
        <f>INDEX(ListeMatières,28)</f>
        <v>Autres contenants en acier</v>
      </c>
      <c r="C42" s="153">
        <f>INDEX(tblMatières[Quantité déclarée (tonnes)],MATCH($B42,tblMatières[Matière],0))</f>
        <v>23510.151000000002</v>
      </c>
      <c r="D42" s="166">
        <f>INDEX(tblMatières[Quantité générée (tonnes)],MATCH($B42,tblMatières[Matière],0))</f>
        <v>23510.151000000002</v>
      </c>
      <c r="E42" s="166">
        <f>INDEX(tblMatières[Quantité récupérée (tonnes)],MATCH($B42,tblMatières[Matière],0))</f>
        <v>15248.302927500676</v>
      </c>
      <c r="F42" s="166">
        <f t="shared" si="4"/>
        <v>8261.848072499326</v>
      </c>
      <c r="G42" s="147">
        <f>INDEX(tblMatières[% récupération],MATCH($B42,tblMatières[Matière],0))</f>
        <v>0.64858379376213593</v>
      </c>
      <c r="H42" s="327">
        <f>INDEX(tblMatières[Coût net ACA],MATCH($B42,tblMatières[Matière],0))</f>
        <v>103.98867177055706</v>
      </c>
      <c r="I42" s="332">
        <f>INDEX(rgTarif_TxFinal,MATCH($B42,rgTarif_Matières,0))</f>
        <v>173.22</v>
      </c>
      <c r="J42" s="95">
        <v>168.91</v>
      </c>
      <c r="K42" s="371">
        <f>IF(J42&gt;0,I42/J42-1,0)</f>
        <v>2.5516547273696011E-2</v>
      </c>
    </row>
    <row r="43" spans="1:11">
      <c r="A43" s="43" t="s">
        <v>163</v>
      </c>
      <c r="B43" s="10"/>
      <c r="C43" s="157">
        <f>SUBTOTAL(9,C41:C42)</f>
        <v>25940.929</v>
      </c>
      <c r="D43" s="170">
        <f t="shared" ref="D43" si="13">SUBTOTAL(9,D41:D42)</f>
        <v>25940.929</v>
      </c>
      <c r="E43" s="170">
        <f t="shared" ref="E43" si="14">SUBTOTAL(9,E41:E42)</f>
        <v>15674.418310900675</v>
      </c>
      <c r="F43" s="170">
        <f t="shared" si="4"/>
        <v>10266.510689099325</v>
      </c>
      <c r="G43" s="151">
        <f>E43/D43</f>
        <v>0.60423504150143104</v>
      </c>
      <c r="H43" s="331"/>
      <c r="I43" s="334">
        <f>INDEX(rgTarif_TxFinal,MATCH($A43,Tarif!$B$11:$B$51,0))</f>
        <v>173.22</v>
      </c>
      <c r="J43" s="103">
        <v>168.91</v>
      </c>
      <c r="K43" s="375">
        <f>IF(J43&gt;0,I43/J43-1,0)</f>
        <v>2.5516547273696011E-2</v>
      </c>
    </row>
    <row r="44" spans="1:11">
      <c r="A44" s="46" t="s">
        <v>17</v>
      </c>
      <c r="B44" s="37" t="str">
        <f>INDEX(ListeMatières,29)</f>
        <v>Verre clair</v>
      </c>
      <c r="C44" s="153">
        <f>INDEX(tblMatières[Quantité déclarée (tonnes)],MATCH($B44,tblMatières[Matière],0))</f>
        <v>56442.516000000003</v>
      </c>
      <c r="D44" s="166">
        <f>INDEX(tblMatières[Quantité générée (tonnes)],MATCH($B44,tblMatières[Matière],0))</f>
        <v>56442.516000000003</v>
      </c>
      <c r="E44" s="166">
        <f>INDEX(tblMatières[Quantité récupérée (tonnes)],MATCH($B44,tblMatières[Matière],0))</f>
        <v>44498.909088249253</v>
      </c>
      <c r="F44" s="166">
        <f t="shared" si="4"/>
        <v>11943.60691175075</v>
      </c>
      <c r="G44" s="147">
        <f>INDEX(tblMatières[% récupération],MATCH($B44,tblMatières[Matière],0))</f>
        <v>0.78839343533603723</v>
      </c>
      <c r="H44" s="327">
        <f>INDEX(tblMatières[Coût net ACA],MATCH($B44,tblMatières[Matière],0))</f>
        <v>201.19440995998201</v>
      </c>
      <c r="I44" s="332">
        <f>INDEX(rgTarif_TxFinal,MATCH($B44,rgTarif_Matières,0))</f>
        <v>175.15</v>
      </c>
      <c r="J44" s="95">
        <v>168.32</v>
      </c>
      <c r="K44" s="371">
        <f t="shared" si="6"/>
        <v>4.0577471482889704E-2</v>
      </c>
    </row>
    <row r="45" spans="1:11">
      <c r="A45" s="46"/>
      <c r="B45" s="37" t="str">
        <f>INDEX(ListeMatières,30)</f>
        <v>Verre coloré</v>
      </c>
      <c r="C45" s="153">
        <f>INDEX(tblMatières[Quantité déclarée (tonnes)],MATCH($B45,tblMatières[Matière],0))</f>
        <v>83245.164999999994</v>
      </c>
      <c r="D45" s="166">
        <f>INDEX(tblMatières[Quantité générée (tonnes)],MATCH($B45,tblMatières[Matière],0))</f>
        <v>83245.164999999994</v>
      </c>
      <c r="E45" s="166">
        <f>INDEX(tblMatières[Quantité récupérée (tonnes)],MATCH($B45,tblMatières[Matière],0))</f>
        <v>65629.941609465241</v>
      </c>
      <c r="F45" s="166">
        <f t="shared" si="4"/>
        <v>17615.223390534753</v>
      </c>
      <c r="G45" s="147">
        <f>INDEX(tblMatières[% récupération],MATCH($B45,tblMatières[Matière],0))</f>
        <v>0.78839343533603723</v>
      </c>
      <c r="H45" s="327">
        <f>INDEX(tblMatières[Coût net ACA],MATCH($B45,tblMatières[Matière],0))</f>
        <v>201.26779444797467</v>
      </c>
      <c r="I45" s="332">
        <f>INDEX(rgTarif_TxFinal,MATCH($B45,rgTarif_Matières,0))</f>
        <v>175.19</v>
      </c>
      <c r="J45" s="95">
        <v>168.36</v>
      </c>
      <c r="K45" s="371">
        <f t="shared" si="6"/>
        <v>4.0567830838678987E-2</v>
      </c>
    </row>
    <row r="46" spans="1:11">
      <c r="A46" s="43" t="s">
        <v>32</v>
      </c>
      <c r="B46" s="10"/>
      <c r="C46" s="157">
        <f>SUBTOTAL(9,C44:C45)</f>
        <v>139687.68099999998</v>
      </c>
      <c r="D46" s="170">
        <f t="shared" ref="D46" si="15">SUBTOTAL(9,D44:D45)</f>
        <v>139687.68099999998</v>
      </c>
      <c r="E46" s="170">
        <f t="shared" ref="E46" si="16">SUBTOTAL(9,E44:E45)</f>
        <v>110128.85069771449</v>
      </c>
      <c r="F46" s="170">
        <f t="shared" si="4"/>
        <v>29558.830302285496</v>
      </c>
      <c r="G46" s="151">
        <f>E46/D46</f>
        <v>0.78839343533603723</v>
      </c>
      <c r="H46" s="104"/>
      <c r="I46" s="334">
        <f>INDEX(rgTarif_TxFinal,MATCH($A46,Tarif!$B$11:$B$51,0))</f>
        <v>175.17383751076807</v>
      </c>
      <c r="J46" s="103">
        <v>168.34</v>
      </c>
      <c r="K46" s="375">
        <f t="shared" si="6"/>
        <v>4.0595446778947775E-2</v>
      </c>
    </row>
    <row r="47" spans="1:11" ht="15.75" thickBot="1">
      <c r="A47" s="56" t="s">
        <v>34</v>
      </c>
      <c r="B47" s="23"/>
      <c r="C47" s="154">
        <f>SUBTOTAL(9,C18:C46)</f>
        <v>501933.17799999984</v>
      </c>
      <c r="D47" s="167">
        <f>SUBTOTAL(9,D18:D46)</f>
        <v>501933.17799999984</v>
      </c>
      <c r="E47" s="167">
        <f>SUBTOTAL(9,E18:E46)</f>
        <v>310448.29415596765</v>
      </c>
      <c r="F47" s="167">
        <f t="shared" si="4"/>
        <v>191484.88384403219</v>
      </c>
      <c r="G47" s="150">
        <f>E47/D47</f>
        <v>0.61850522691681431</v>
      </c>
      <c r="H47" s="99"/>
      <c r="I47" s="333">
        <f>INDEX(rgTarif_TxFinal,MATCH($A47,Tarif!$B$11:$B$51,0))</f>
        <v>239.08196188939723</v>
      </c>
      <c r="J47" s="98">
        <v>227.88</v>
      </c>
      <c r="K47" s="372">
        <f t="shared" si="6"/>
        <v>4.9157284050365346E-2</v>
      </c>
    </row>
    <row r="48" spans="1:11">
      <c r="A48" s="38"/>
      <c r="B48" s="35"/>
      <c r="C48" s="155"/>
      <c r="D48" s="168"/>
      <c r="E48" s="168"/>
      <c r="F48" s="168"/>
      <c r="G48" s="145"/>
      <c r="H48" s="131"/>
      <c r="I48" s="108"/>
      <c r="J48" s="107"/>
      <c r="K48" s="373"/>
    </row>
    <row r="49" spans="1:11" ht="15.75" thickBot="1">
      <c r="A49" s="57" t="s">
        <v>35</v>
      </c>
      <c r="B49" s="14"/>
      <c r="C49" s="158">
        <f>SUBTOTAL(9,C9:C47)</f>
        <v>642270.19699999993</v>
      </c>
      <c r="D49" s="171">
        <f t="shared" ref="D49:E49" si="17">SUBTOTAL(9,D9:D47)</f>
        <v>642270.19699999993</v>
      </c>
      <c r="E49" s="171">
        <f t="shared" si="17"/>
        <v>422897.71955038316</v>
      </c>
      <c r="F49" s="171">
        <f>D49-E49</f>
        <v>219372.47744961677</v>
      </c>
      <c r="G49" s="235">
        <f>E49/D49</f>
        <v>0.65844207239524644</v>
      </c>
      <c r="H49" s="132"/>
      <c r="I49" s="335">
        <f>INDEX(rgTarif_TxFinal,MATCH($A49,Tarif!$B$11:$B$51,0))</f>
        <v>238.21242256397275</v>
      </c>
      <c r="J49" s="109">
        <v>224.24</v>
      </c>
      <c r="K49" s="376">
        <f>IF(J49&gt;0,I49/J49-1,0)</f>
        <v>6.2310125597452526E-2</v>
      </c>
    </row>
    <row r="50" spans="1:11" ht="15.75" thickTop="1">
      <c r="C50" s="239"/>
    </row>
    <row r="51" spans="1:11">
      <c r="C51" s="239"/>
    </row>
    <row r="52" spans="1:11">
      <c r="C52" s="239"/>
    </row>
    <row r="53" spans="1:11">
      <c r="C53" s="239"/>
    </row>
    <row r="54" spans="1:11">
      <c r="C54" s="239"/>
    </row>
    <row r="55" spans="1:11">
      <c r="C55" s="239"/>
    </row>
    <row r="56" spans="1:11">
      <c r="C56" s="239"/>
    </row>
    <row r="57" spans="1:11">
      <c r="C57" s="239"/>
    </row>
    <row r="58" spans="1:11">
      <c r="C58" s="239"/>
    </row>
    <row r="59" spans="1:11">
      <c r="C59" s="239"/>
    </row>
    <row r="60" spans="1:11">
      <c r="C60" s="239"/>
    </row>
    <row r="61" spans="1:11">
      <c r="C61" s="239"/>
    </row>
    <row r="62" spans="1:11">
      <c r="C62" s="239"/>
    </row>
    <row r="63" spans="1:11">
      <c r="C63" s="239"/>
    </row>
    <row r="64" spans="1:11">
      <c r="C64" s="239"/>
    </row>
    <row r="65" spans="3:3">
      <c r="C65" s="239"/>
    </row>
    <row r="66" spans="3:3">
      <c r="C66" s="239"/>
    </row>
    <row r="67" spans="3:3">
      <c r="C67" s="239"/>
    </row>
    <row r="68" spans="3:3">
      <c r="C68" s="239"/>
    </row>
    <row r="69" spans="3:3">
      <c r="C69" s="239"/>
    </row>
    <row r="70" spans="3:3">
      <c r="C70" s="239"/>
    </row>
    <row r="71" spans="3:3">
      <c r="C71" s="239"/>
    </row>
    <row r="72" spans="3:3">
      <c r="C72" s="239"/>
    </row>
    <row r="73" spans="3:3">
      <c r="C73" s="239"/>
    </row>
    <row r="74" spans="3:3">
      <c r="C74" s="239"/>
    </row>
    <row r="75" spans="3:3">
      <c r="C75" s="239"/>
    </row>
    <row r="76" spans="3:3">
      <c r="C76" s="239"/>
    </row>
    <row r="77" spans="3:3">
      <c r="C77" s="239"/>
    </row>
    <row r="78" spans="3:3">
      <c r="C78" s="239"/>
    </row>
    <row r="79" spans="3:3">
      <c r="C79" s="239"/>
    </row>
    <row r="80" spans="3:3">
      <c r="C80" s="239"/>
    </row>
    <row r="81" spans="3:3">
      <c r="C81" s="239"/>
    </row>
    <row r="82" spans="3:3">
      <c r="C82" s="239"/>
    </row>
    <row r="83" spans="3:3">
      <c r="C83" s="239"/>
    </row>
    <row r="84" spans="3:3">
      <c r="C84" s="239"/>
    </row>
    <row r="85" spans="3:3">
      <c r="C85" s="239"/>
    </row>
    <row r="86" spans="3:3">
      <c r="C86" s="239"/>
    </row>
    <row r="87" spans="3:3">
      <c r="C87" s="239"/>
    </row>
    <row r="88" spans="3:3">
      <c r="C88" s="239"/>
    </row>
    <row r="89" spans="3:3">
      <c r="C89" s="239"/>
    </row>
    <row r="90" spans="3:3">
      <c r="C90" s="239"/>
    </row>
    <row r="91" spans="3:3">
      <c r="C91" s="239"/>
    </row>
    <row r="92" spans="3:3">
      <c r="C92" s="239"/>
    </row>
    <row r="93" spans="3:3">
      <c r="C93" s="239"/>
    </row>
    <row r="94" spans="3:3">
      <c r="C94" s="239"/>
    </row>
    <row r="95" spans="3:3">
      <c r="C95" s="239"/>
    </row>
    <row r="96" spans="3:3">
      <c r="C96" s="239"/>
    </row>
    <row r="97" spans="3:3">
      <c r="C97" s="239"/>
    </row>
    <row r="98" spans="3:3">
      <c r="C98" s="239"/>
    </row>
    <row r="99" spans="3:3">
      <c r="C99" s="239"/>
    </row>
    <row r="100" spans="3:3">
      <c r="C100" s="239"/>
    </row>
    <row r="101" spans="3:3">
      <c r="C101" s="239"/>
    </row>
    <row r="102" spans="3:3">
      <c r="C102" s="239"/>
    </row>
    <row r="103" spans="3:3">
      <c r="C103" s="239"/>
    </row>
    <row r="104" spans="3:3">
      <c r="C104" s="239"/>
    </row>
    <row r="105" spans="3:3">
      <c r="C105" s="239"/>
    </row>
    <row r="106" spans="3:3">
      <c r="C106" s="239"/>
    </row>
    <row r="107" spans="3:3">
      <c r="C107" s="239"/>
    </row>
    <row r="108" spans="3:3">
      <c r="C108" s="239"/>
    </row>
    <row r="109" spans="3:3">
      <c r="C109" s="239"/>
    </row>
    <row r="110" spans="3:3">
      <c r="C110" s="239"/>
    </row>
    <row r="111" spans="3:3">
      <c r="C111" s="239"/>
    </row>
    <row r="112" spans="3:3">
      <c r="C112" s="239"/>
    </row>
    <row r="113" spans="3:3">
      <c r="C113" s="239"/>
    </row>
    <row r="114" spans="3:3">
      <c r="C114" s="239"/>
    </row>
    <row r="115" spans="3:3">
      <c r="C115" s="239"/>
    </row>
    <row r="116" spans="3:3">
      <c r="C116" s="239"/>
    </row>
    <row r="117" spans="3:3">
      <c r="C117" s="239"/>
    </row>
    <row r="118" spans="3:3">
      <c r="C118" s="239"/>
    </row>
    <row r="119" spans="3:3">
      <c r="C119" s="239"/>
    </row>
    <row r="120" spans="3:3">
      <c r="C120" s="239"/>
    </row>
    <row r="121" spans="3:3">
      <c r="C121" s="239"/>
    </row>
    <row r="122" spans="3:3">
      <c r="C122" s="239"/>
    </row>
    <row r="123" spans="3:3">
      <c r="C123" s="239"/>
    </row>
    <row r="124" spans="3:3">
      <c r="C124" s="239"/>
    </row>
    <row r="125" spans="3:3">
      <c r="C125" s="239"/>
    </row>
    <row r="126" spans="3:3">
      <c r="C126" s="239"/>
    </row>
    <row r="127" spans="3:3">
      <c r="C127" s="239"/>
    </row>
    <row r="128" spans="3:3">
      <c r="C128" s="239"/>
    </row>
    <row r="129" spans="3:3">
      <c r="C129" s="239"/>
    </row>
    <row r="130" spans="3:3">
      <c r="C130" s="239"/>
    </row>
    <row r="131" spans="3:3">
      <c r="C131" s="239"/>
    </row>
    <row r="132" spans="3:3">
      <c r="C132" s="239"/>
    </row>
    <row r="133" spans="3:3">
      <c r="C133" s="239"/>
    </row>
    <row r="134" spans="3:3">
      <c r="C134" s="239"/>
    </row>
    <row r="135" spans="3:3">
      <c r="C135" s="239"/>
    </row>
    <row r="136" spans="3:3">
      <c r="C136" s="239"/>
    </row>
    <row r="137" spans="3:3">
      <c r="C137" s="239"/>
    </row>
    <row r="138" spans="3:3">
      <c r="C138" s="239"/>
    </row>
    <row r="139" spans="3:3">
      <c r="C139" s="239"/>
    </row>
    <row r="140" spans="3:3">
      <c r="C140" s="239"/>
    </row>
    <row r="141" spans="3:3">
      <c r="C141" s="239"/>
    </row>
    <row r="142" spans="3:3">
      <c r="C142" s="239"/>
    </row>
    <row r="143" spans="3:3">
      <c r="C143" s="239"/>
    </row>
    <row r="144" spans="3:3">
      <c r="C144" s="239"/>
    </row>
    <row r="145" spans="3:3">
      <c r="C145" s="239"/>
    </row>
    <row r="146" spans="3:3">
      <c r="C146" s="239"/>
    </row>
    <row r="147" spans="3:3">
      <c r="C147" s="239"/>
    </row>
    <row r="148" spans="3:3">
      <c r="C148" s="239"/>
    </row>
    <row r="149" spans="3:3">
      <c r="C149" s="239"/>
    </row>
    <row r="150" spans="3:3">
      <c r="C150" s="239"/>
    </row>
    <row r="151" spans="3:3">
      <c r="C151" s="239"/>
    </row>
    <row r="152" spans="3:3">
      <c r="C152" s="239"/>
    </row>
    <row r="153" spans="3:3">
      <c r="C153" s="239"/>
    </row>
    <row r="154" spans="3:3">
      <c r="C154" s="239"/>
    </row>
    <row r="155" spans="3:3">
      <c r="C155" s="239"/>
    </row>
    <row r="156" spans="3:3">
      <c r="C156" s="239"/>
    </row>
    <row r="157" spans="3:3">
      <c r="C157" s="239"/>
    </row>
    <row r="158" spans="3:3">
      <c r="C158" s="239"/>
    </row>
    <row r="159" spans="3:3">
      <c r="C159" s="239"/>
    </row>
    <row r="160" spans="3:3">
      <c r="C160" s="239"/>
    </row>
    <row r="161" spans="3:3">
      <c r="C161" s="239"/>
    </row>
    <row r="162" spans="3:3">
      <c r="C162" s="239"/>
    </row>
    <row r="163" spans="3:3">
      <c r="C163" s="239"/>
    </row>
    <row r="164" spans="3:3">
      <c r="C164" s="239"/>
    </row>
    <row r="165" spans="3:3">
      <c r="C165" s="239"/>
    </row>
    <row r="166" spans="3:3">
      <c r="C166" s="239"/>
    </row>
    <row r="167" spans="3:3">
      <c r="C167" s="239"/>
    </row>
    <row r="168" spans="3:3">
      <c r="C168" s="239"/>
    </row>
    <row r="169" spans="3:3">
      <c r="C169" s="239"/>
    </row>
    <row r="170" spans="3:3">
      <c r="C170" s="239"/>
    </row>
    <row r="171" spans="3:3">
      <c r="C171" s="239"/>
    </row>
    <row r="172" spans="3:3">
      <c r="C172" s="239"/>
    </row>
    <row r="173" spans="3:3">
      <c r="C173" s="239"/>
    </row>
    <row r="174" spans="3:3">
      <c r="C174" s="239"/>
    </row>
    <row r="175" spans="3:3">
      <c r="C175" s="239"/>
    </row>
    <row r="176" spans="3:3">
      <c r="C176" s="239"/>
    </row>
    <row r="177" spans="3:3">
      <c r="C177" s="239"/>
    </row>
    <row r="178" spans="3:3">
      <c r="C178" s="239"/>
    </row>
    <row r="179" spans="3:3">
      <c r="C179" s="239"/>
    </row>
    <row r="180" spans="3:3">
      <c r="C180" s="239"/>
    </row>
    <row r="181" spans="3:3">
      <c r="C181" s="239"/>
    </row>
    <row r="182" spans="3:3">
      <c r="C182" s="239"/>
    </row>
    <row r="183" spans="3:3">
      <c r="C183" s="239"/>
    </row>
    <row r="184" spans="3:3">
      <c r="C184" s="239"/>
    </row>
    <row r="185" spans="3:3">
      <c r="C185" s="239"/>
    </row>
    <row r="186" spans="3:3">
      <c r="C186" s="239"/>
    </row>
    <row r="187" spans="3:3">
      <c r="C187" s="239"/>
    </row>
    <row r="188" spans="3:3">
      <c r="C188" s="239"/>
    </row>
    <row r="189" spans="3:3">
      <c r="C189" s="239"/>
    </row>
    <row r="190" spans="3:3">
      <c r="C190" s="239"/>
    </row>
    <row r="191" spans="3:3">
      <c r="C191" s="239"/>
    </row>
    <row r="192" spans="3:3">
      <c r="C192" s="239"/>
    </row>
    <row r="193" spans="3:3">
      <c r="C193" s="239"/>
    </row>
    <row r="194" spans="3:3">
      <c r="C194" s="239"/>
    </row>
    <row r="195" spans="3:3">
      <c r="C195" s="239"/>
    </row>
    <row r="196" spans="3:3">
      <c r="C196" s="239"/>
    </row>
    <row r="197" spans="3:3">
      <c r="C197" s="239"/>
    </row>
    <row r="198" spans="3:3">
      <c r="C198" s="239"/>
    </row>
    <row r="199" spans="3:3">
      <c r="C199" s="239"/>
    </row>
    <row r="200" spans="3:3">
      <c r="C200" s="239"/>
    </row>
    <row r="201" spans="3:3">
      <c r="C201" s="239"/>
    </row>
    <row r="202" spans="3:3">
      <c r="C202" s="239"/>
    </row>
    <row r="203" spans="3:3">
      <c r="C203" s="239"/>
    </row>
    <row r="204" spans="3:3">
      <c r="C204" s="239"/>
    </row>
    <row r="205" spans="3:3">
      <c r="C205" s="239"/>
    </row>
    <row r="206" spans="3:3">
      <c r="C206" s="239"/>
    </row>
    <row r="207" spans="3:3">
      <c r="C207" s="239"/>
    </row>
    <row r="208" spans="3:3">
      <c r="C208" s="239"/>
    </row>
    <row r="209" spans="3:3">
      <c r="C209" s="239"/>
    </row>
    <row r="210" spans="3:3">
      <c r="C210" s="239"/>
    </row>
    <row r="211" spans="3:3">
      <c r="C211" s="239"/>
    </row>
    <row r="212" spans="3:3">
      <c r="C212" s="239"/>
    </row>
    <row r="213" spans="3:3">
      <c r="C213" s="239"/>
    </row>
    <row r="214" spans="3:3">
      <c r="C214" s="239"/>
    </row>
    <row r="215" spans="3:3">
      <c r="C215" s="239"/>
    </row>
    <row r="216" spans="3:3">
      <c r="C216" s="239"/>
    </row>
    <row r="217" spans="3:3">
      <c r="C217" s="239"/>
    </row>
    <row r="218" spans="3:3">
      <c r="C218" s="239"/>
    </row>
    <row r="219" spans="3:3">
      <c r="C219" s="239"/>
    </row>
    <row r="220" spans="3:3">
      <c r="C220" s="239"/>
    </row>
    <row r="221" spans="3:3">
      <c r="C221" s="239"/>
    </row>
    <row r="222" spans="3:3">
      <c r="C222" s="239"/>
    </row>
    <row r="223" spans="3:3">
      <c r="C223" s="239"/>
    </row>
    <row r="224" spans="3:3">
      <c r="C224" s="239"/>
    </row>
    <row r="225" spans="3:3">
      <c r="C225" s="239"/>
    </row>
    <row r="226" spans="3:3">
      <c r="C226" s="239"/>
    </row>
    <row r="227" spans="3:3">
      <c r="C227" s="239"/>
    </row>
    <row r="228" spans="3:3">
      <c r="C228" s="239"/>
    </row>
    <row r="229" spans="3:3">
      <c r="C229" s="239"/>
    </row>
    <row r="230" spans="3:3">
      <c r="C230" s="239"/>
    </row>
    <row r="231" spans="3:3">
      <c r="C231" s="239"/>
    </row>
    <row r="232" spans="3:3">
      <c r="C232" s="239"/>
    </row>
    <row r="233" spans="3:3">
      <c r="C233" s="239"/>
    </row>
    <row r="234" spans="3:3">
      <c r="C234" s="239"/>
    </row>
    <row r="235" spans="3:3">
      <c r="C235" s="239"/>
    </row>
    <row r="236" spans="3:3">
      <c r="C236" s="239"/>
    </row>
    <row r="237" spans="3:3">
      <c r="C237" s="239"/>
    </row>
    <row r="238" spans="3:3">
      <c r="C238" s="239"/>
    </row>
    <row r="239" spans="3:3">
      <c r="C239" s="239"/>
    </row>
    <row r="240" spans="3:3">
      <c r="C240" s="239"/>
    </row>
    <row r="241" spans="3:3">
      <c r="C241" s="239"/>
    </row>
    <row r="242" spans="3:3">
      <c r="C242" s="239"/>
    </row>
    <row r="243" spans="3:3">
      <c r="C243" s="239"/>
    </row>
    <row r="244" spans="3:3">
      <c r="C244" s="239"/>
    </row>
    <row r="245" spans="3:3">
      <c r="C245" s="239"/>
    </row>
    <row r="246" spans="3:3">
      <c r="C246" s="239"/>
    </row>
    <row r="247" spans="3:3">
      <c r="C247" s="239"/>
    </row>
    <row r="248" spans="3:3">
      <c r="C248" s="239"/>
    </row>
    <row r="249" spans="3:3">
      <c r="C249" s="239"/>
    </row>
    <row r="250" spans="3:3">
      <c r="C250" s="239"/>
    </row>
    <row r="251" spans="3:3">
      <c r="C251" s="239"/>
    </row>
    <row r="252" spans="3:3">
      <c r="C252" s="239"/>
    </row>
    <row r="253" spans="3:3">
      <c r="C253" s="239"/>
    </row>
    <row r="254" spans="3:3">
      <c r="C254" s="239"/>
    </row>
    <row r="255" spans="3:3">
      <c r="C255" s="239"/>
    </row>
    <row r="256" spans="3:3">
      <c r="C256" s="239"/>
    </row>
    <row r="257" spans="3:3">
      <c r="C257" s="239"/>
    </row>
    <row r="258" spans="3:3">
      <c r="C258" s="239"/>
    </row>
    <row r="259" spans="3:3">
      <c r="C259" s="239"/>
    </row>
    <row r="260" spans="3:3">
      <c r="C260" s="239"/>
    </row>
    <row r="261" spans="3:3">
      <c r="C261" s="239"/>
    </row>
    <row r="262" spans="3:3">
      <c r="C262" s="239"/>
    </row>
    <row r="263" spans="3:3">
      <c r="C263" s="239"/>
    </row>
    <row r="264" spans="3:3">
      <c r="C264" s="239"/>
    </row>
    <row r="265" spans="3:3">
      <c r="C265" s="239"/>
    </row>
    <row r="266" spans="3:3">
      <c r="C266" s="239"/>
    </row>
    <row r="267" spans="3:3">
      <c r="C267" s="239"/>
    </row>
    <row r="268" spans="3:3">
      <c r="C268" s="239"/>
    </row>
    <row r="269" spans="3:3">
      <c r="C269" s="239"/>
    </row>
    <row r="270" spans="3:3">
      <c r="C270" s="239"/>
    </row>
    <row r="271" spans="3:3">
      <c r="C271" s="239"/>
    </row>
    <row r="272" spans="3:3">
      <c r="C272" s="239"/>
    </row>
    <row r="273" spans="3:3">
      <c r="C273" s="239"/>
    </row>
    <row r="274" spans="3:3">
      <c r="C274" s="239"/>
    </row>
    <row r="275" spans="3:3">
      <c r="C275" s="239"/>
    </row>
    <row r="276" spans="3:3">
      <c r="C276" s="239"/>
    </row>
    <row r="277" spans="3:3">
      <c r="C277" s="239"/>
    </row>
    <row r="278" spans="3:3">
      <c r="C278" s="239"/>
    </row>
    <row r="279" spans="3:3">
      <c r="C279" s="239"/>
    </row>
    <row r="280" spans="3:3">
      <c r="C280" s="239"/>
    </row>
    <row r="281" spans="3:3">
      <c r="C281" s="239"/>
    </row>
    <row r="282" spans="3:3">
      <c r="C282" s="239"/>
    </row>
    <row r="283" spans="3:3">
      <c r="C283" s="239"/>
    </row>
    <row r="284" spans="3:3">
      <c r="C284" s="239"/>
    </row>
    <row r="285" spans="3:3">
      <c r="C285" s="239"/>
    </row>
    <row r="286" spans="3:3">
      <c r="C286" s="239"/>
    </row>
    <row r="287" spans="3:3">
      <c r="C287" s="239"/>
    </row>
    <row r="288" spans="3:3">
      <c r="C288" s="239"/>
    </row>
    <row r="289" spans="3:3">
      <c r="C289" s="239"/>
    </row>
    <row r="290" spans="3:3">
      <c r="C290" s="239"/>
    </row>
    <row r="291" spans="3:3">
      <c r="C291" s="239"/>
    </row>
    <row r="292" spans="3:3">
      <c r="C292" s="239"/>
    </row>
    <row r="293" spans="3:3">
      <c r="C293" s="239"/>
    </row>
    <row r="294" spans="3:3">
      <c r="C294" s="239"/>
    </row>
    <row r="295" spans="3:3">
      <c r="C295" s="239"/>
    </row>
    <row r="296" spans="3:3">
      <c r="C296" s="239"/>
    </row>
    <row r="297" spans="3:3">
      <c r="C297" s="239"/>
    </row>
    <row r="298" spans="3:3">
      <c r="C298" s="239"/>
    </row>
    <row r="299" spans="3:3">
      <c r="C299" s="239"/>
    </row>
    <row r="300" spans="3:3">
      <c r="C300" s="239"/>
    </row>
    <row r="301" spans="3:3">
      <c r="C301" s="239"/>
    </row>
    <row r="302" spans="3:3">
      <c r="C302" s="239"/>
    </row>
    <row r="303" spans="3:3">
      <c r="C303" s="239"/>
    </row>
    <row r="304" spans="3:3">
      <c r="C304" s="239"/>
    </row>
    <row r="305" spans="3:3">
      <c r="C305" s="239"/>
    </row>
    <row r="306" spans="3:3">
      <c r="C306" s="239"/>
    </row>
    <row r="307" spans="3:3">
      <c r="C307" s="239"/>
    </row>
    <row r="308" spans="3:3">
      <c r="C308" s="239"/>
    </row>
    <row r="309" spans="3:3">
      <c r="C309" s="239"/>
    </row>
    <row r="310" spans="3:3">
      <c r="C310" s="239"/>
    </row>
    <row r="311" spans="3:3">
      <c r="C311" s="239"/>
    </row>
    <row r="312" spans="3:3">
      <c r="C312" s="239"/>
    </row>
    <row r="313" spans="3:3">
      <c r="C313" s="239"/>
    </row>
    <row r="314" spans="3:3">
      <c r="C314" s="239"/>
    </row>
    <row r="315" spans="3:3">
      <c r="C315" s="239"/>
    </row>
    <row r="316" spans="3:3">
      <c r="C316" s="239"/>
    </row>
    <row r="317" spans="3:3">
      <c r="C317" s="239"/>
    </row>
    <row r="318" spans="3:3">
      <c r="C318" s="239"/>
    </row>
    <row r="319" spans="3:3">
      <c r="C319" s="239"/>
    </row>
    <row r="320" spans="3:3">
      <c r="C320" s="239"/>
    </row>
    <row r="321" spans="3:3">
      <c r="C321" s="239"/>
    </row>
    <row r="322" spans="3:3">
      <c r="C322" s="239"/>
    </row>
    <row r="323" spans="3:3">
      <c r="C323" s="239"/>
    </row>
    <row r="324" spans="3:3">
      <c r="C324" s="239"/>
    </row>
    <row r="325" spans="3:3">
      <c r="C325" s="239"/>
    </row>
    <row r="326" spans="3:3">
      <c r="C326" s="239"/>
    </row>
    <row r="327" spans="3:3">
      <c r="C327" s="239"/>
    </row>
    <row r="328" spans="3:3">
      <c r="C328" s="239"/>
    </row>
    <row r="329" spans="3:3">
      <c r="C329" s="239"/>
    </row>
    <row r="330" spans="3:3">
      <c r="C330" s="239"/>
    </row>
    <row r="331" spans="3:3">
      <c r="C331" s="239"/>
    </row>
    <row r="332" spans="3:3">
      <c r="C332" s="239"/>
    </row>
    <row r="333" spans="3:3">
      <c r="C333" s="239"/>
    </row>
    <row r="334" spans="3:3">
      <c r="C334" s="239"/>
    </row>
    <row r="335" spans="3:3">
      <c r="C335" s="239"/>
    </row>
    <row r="336" spans="3:3">
      <c r="C336" s="239"/>
    </row>
    <row r="337" spans="3:3">
      <c r="C337" s="239"/>
    </row>
    <row r="338" spans="3:3">
      <c r="C338" s="239"/>
    </row>
    <row r="339" spans="3:3">
      <c r="C339" s="239"/>
    </row>
    <row r="340" spans="3:3">
      <c r="C340" s="239"/>
    </row>
    <row r="341" spans="3:3">
      <c r="C341" s="239"/>
    </row>
    <row r="342" spans="3:3">
      <c r="C342" s="239"/>
    </row>
    <row r="343" spans="3:3">
      <c r="C343" s="239"/>
    </row>
    <row r="344" spans="3:3">
      <c r="C344" s="239"/>
    </row>
    <row r="345" spans="3:3">
      <c r="C345" s="239"/>
    </row>
    <row r="346" spans="3:3">
      <c r="C346" s="239"/>
    </row>
    <row r="347" spans="3:3">
      <c r="C347" s="239"/>
    </row>
    <row r="348" spans="3:3">
      <c r="C348" s="239"/>
    </row>
    <row r="349" spans="3:3">
      <c r="C349" s="239"/>
    </row>
    <row r="350" spans="3:3">
      <c r="C350" s="239"/>
    </row>
    <row r="351" spans="3:3">
      <c r="C351" s="239"/>
    </row>
    <row r="352" spans="3:3">
      <c r="C352" s="239"/>
    </row>
    <row r="353" spans="3:3">
      <c r="C353" s="239"/>
    </row>
    <row r="354" spans="3:3">
      <c r="C354" s="239"/>
    </row>
    <row r="355" spans="3:3">
      <c r="C355" s="239"/>
    </row>
    <row r="356" spans="3:3">
      <c r="C356" s="239"/>
    </row>
    <row r="357" spans="3:3">
      <c r="C357" s="239"/>
    </row>
    <row r="358" spans="3:3">
      <c r="C358" s="239"/>
    </row>
    <row r="359" spans="3:3">
      <c r="C359" s="239"/>
    </row>
    <row r="360" spans="3:3">
      <c r="C360" s="239"/>
    </row>
    <row r="361" spans="3:3">
      <c r="C361" s="239"/>
    </row>
    <row r="362" spans="3:3">
      <c r="C362" s="239"/>
    </row>
    <row r="363" spans="3:3">
      <c r="C363" s="239"/>
    </row>
    <row r="364" spans="3:3">
      <c r="C364" s="239"/>
    </row>
    <row r="365" spans="3:3">
      <c r="C365" s="239"/>
    </row>
    <row r="366" spans="3:3">
      <c r="C366" s="239"/>
    </row>
    <row r="367" spans="3:3">
      <c r="C367" s="239"/>
    </row>
    <row r="368" spans="3:3">
      <c r="C368" s="239"/>
    </row>
    <row r="369" spans="3:3">
      <c r="C369" s="239"/>
    </row>
    <row r="370" spans="3:3">
      <c r="C370" s="239"/>
    </row>
    <row r="371" spans="3:3">
      <c r="C371" s="239"/>
    </row>
    <row r="372" spans="3:3">
      <c r="C372" s="239"/>
    </row>
    <row r="373" spans="3:3">
      <c r="C373" s="239"/>
    </row>
    <row r="374" spans="3:3">
      <c r="C374" s="239"/>
    </row>
    <row r="375" spans="3:3">
      <c r="C375" s="239"/>
    </row>
    <row r="376" spans="3:3">
      <c r="C376" s="239"/>
    </row>
    <row r="377" spans="3:3">
      <c r="C377" s="239"/>
    </row>
    <row r="378" spans="3:3">
      <c r="C378" s="239"/>
    </row>
    <row r="379" spans="3:3">
      <c r="C379" s="239"/>
    </row>
    <row r="380" spans="3:3">
      <c r="C380" s="239"/>
    </row>
    <row r="381" spans="3:3">
      <c r="C381" s="239"/>
    </row>
    <row r="382" spans="3:3">
      <c r="C382" s="239"/>
    </row>
    <row r="383" spans="3:3">
      <c r="C383" s="239"/>
    </row>
    <row r="384" spans="3:3">
      <c r="C384" s="239"/>
    </row>
    <row r="385" spans="3:3">
      <c r="C385" s="239"/>
    </row>
    <row r="386" spans="3:3">
      <c r="C386" s="239"/>
    </row>
    <row r="387" spans="3:3">
      <c r="C387" s="239"/>
    </row>
    <row r="388" spans="3:3">
      <c r="C388" s="239"/>
    </row>
    <row r="389" spans="3:3">
      <c r="C389" s="239"/>
    </row>
    <row r="390" spans="3:3">
      <c r="C390" s="239"/>
    </row>
    <row r="391" spans="3:3">
      <c r="C391" s="239"/>
    </row>
    <row r="392" spans="3:3">
      <c r="C392" s="239"/>
    </row>
    <row r="393" spans="3:3">
      <c r="C393" s="239"/>
    </row>
    <row r="394" spans="3:3">
      <c r="C394" s="239"/>
    </row>
    <row r="395" spans="3:3">
      <c r="C395" s="239"/>
    </row>
    <row r="396" spans="3:3">
      <c r="C396" s="239"/>
    </row>
    <row r="397" spans="3:3">
      <c r="C397" s="239"/>
    </row>
    <row r="398" spans="3:3">
      <c r="C398" s="239"/>
    </row>
    <row r="399" spans="3:3">
      <c r="C399" s="239"/>
    </row>
    <row r="400" spans="3:3">
      <c r="C400" s="239"/>
    </row>
    <row r="401" spans="3:3">
      <c r="C401" s="239"/>
    </row>
    <row r="402" spans="3:3">
      <c r="C402" s="239"/>
    </row>
    <row r="403" spans="3:3">
      <c r="C403" s="239"/>
    </row>
    <row r="404" spans="3:3">
      <c r="C404" s="239"/>
    </row>
    <row r="405" spans="3:3">
      <c r="C405" s="239"/>
    </row>
    <row r="406" spans="3:3">
      <c r="C406" s="239"/>
    </row>
    <row r="407" spans="3:3">
      <c r="C407" s="239"/>
    </row>
    <row r="408" spans="3:3">
      <c r="C408" s="239"/>
    </row>
    <row r="409" spans="3:3">
      <c r="C409" s="239"/>
    </row>
    <row r="410" spans="3:3">
      <c r="C410" s="239"/>
    </row>
    <row r="411" spans="3:3">
      <c r="C411" s="239"/>
    </row>
    <row r="412" spans="3:3">
      <c r="C412" s="239"/>
    </row>
    <row r="413" spans="3:3">
      <c r="C413" s="239"/>
    </row>
    <row r="414" spans="3:3">
      <c r="C414" s="239"/>
    </row>
    <row r="415" spans="3:3">
      <c r="C415" s="239"/>
    </row>
    <row r="416" spans="3:3">
      <c r="C416" s="239"/>
    </row>
    <row r="417" spans="3:3">
      <c r="C417" s="239"/>
    </row>
    <row r="418" spans="3:3">
      <c r="C418" s="239"/>
    </row>
    <row r="419" spans="3:3">
      <c r="C419" s="239"/>
    </row>
    <row r="420" spans="3:3">
      <c r="C420" s="239"/>
    </row>
    <row r="421" spans="3:3">
      <c r="C421" s="239"/>
    </row>
    <row r="422" spans="3:3">
      <c r="C422" s="239"/>
    </row>
    <row r="423" spans="3:3">
      <c r="C423" s="239"/>
    </row>
    <row r="424" spans="3:3">
      <c r="C424" s="239"/>
    </row>
    <row r="425" spans="3:3">
      <c r="C425" s="239"/>
    </row>
    <row r="426" spans="3:3">
      <c r="C426" s="239"/>
    </row>
    <row r="427" spans="3:3">
      <c r="C427" s="239"/>
    </row>
    <row r="428" spans="3:3">
      <c r="C428" s="239"/>
    </row>
    <row r="429" spans="3:3">
      <c r="C429" s="239"/>
    </row>
    <row r="430" spans="3:3">
      <c r="C430" s="239"/>
    </row>
    <row r="431" spans="3:3">
      <c r="C431" s="239"/>
    </row>
    <row r="432" spans="3:3">
      <c r="C432" s="239"/>
    </row>
    <row r="433" spans="3:3">
      <c r="C433" s="239"/>
    </row>
    <row r="434" spans="3:3">
      <c r="C434" s="239"/>
    </row>
    <row r="435" spans="3:3">
      <c r="C435" s="239"/>
    </row>
    <row r="436" spans="3:3">
      <c r="C436" s="239"/>
    </row>
    <row r="437" spans="3:3">
      <c r="C437" s="239"/>
    </row>
    <row r="438" spans="3:3">
      <c r="C438" s="239"/>
    </row>
    <row r="439" spans="3:3">
      <c r="C439" s="239"/>
    </row>
    <row r="440" spans="3:3">
      <c r="C440" s="239"/>
    </row>
    <row r="441" spans="3:3">
      <c r="C441" s="239"/>
    </row>
    <row r="442" spans="3:3">
      <c r="C442" s="239"/>
    </row>
    <row r="443" spans="3:3">
      <c r="C443" s="239"/>
    </row>
    <row r="444" spans="3:3">
      <c r="C444" s="239"/>
    </row>
    <row r="445" spans="3:3">
      <c r="C445" s="239"/>
    </row>
    <row r="446" spans="3:3">
      <c r="C446" s="239"/>
    </row>
    <row r="447" spans="3:3">
      <c r="C447" s="239"/>
    </row>
    <row r="448" spans="3:3">
      <c r="C448" s="239"/>
    </row>
    <row r="449" spans="3:3">
      <c r="C449" s="239"/>
    </row>
    <row r="450" spans="3:3">
      <c r="C450" s="239"/>
    </row>
    <row r="451" spans="3:3">
      <c r="C451" s="239"/>
    </row>
    <row r="452" spans="3:3">
      <c r="C452" s="239"/>
    </row>
    <row r="453" spans="3:3">
      <c r="C453" s="239"/>
    </row>
    <row r="454" spans="3:3">
      <c r="C454" s="239"/>
    </row>
    <row r="455" spans="3:3">
      <c r="C455" s="239"/>
    </row>
    <row r="456" spans="3:3">
      <c r="C456" s="239"/>
    </row>
    <row r="457" spans="3:3">
      <c r="C457" s="239"/>
    </row>
    <row r="458" spans="3:3">
      <c r="C458" s="239"/>
    </row>
    <row r="459" spans="3:3">
      <c r="C459" s="239"/>
    </row>
    <row r="460" spans="3:3">
      <c r="C460" s="239"/>
    </row>
    <row r="461" spans="3:3">
      <c r="C461" s="239"/>
    </row>
    <row r="462" spans="3:3">
      <c r="C462" s="239"/>
    </row>
    <row r="463" spans="3:3">
      <c r="C463" s="239"/>
    </row>
    <row r="464" spans="3:3">
      <c r="C464" s="239"/>
    </row>
    <row r="465" spans="3:3">
      <c r="C465" s="239"/>
    </row>
    <row r="466" spans="3:3">
      <c r="C466" s="239"/>
    </row>
    <row r="467" spans="3:3">
      <c r="C467" s="239"/>
    </row>
    <row r="468" spans="3:3">
      <c r="C468" s="239"/>
    </row>
    <row r="469" spans="3:3">
      <c r="C469" s="239"/>
    </row>
    <row r="470" spans="3:3">
      <c r="C470" s="239"/>
    </row>
    <row r="471" spans="3:3">
      <c r="C471" s="239"/>
    </row>
    <row r="472" spans="3:3">
      <c r="C472" s="239"/>
    </row>
    <row r="473" spans="3:3">
      <c r="C473" s="239"/>
    </row>
    <row r="474" spans="3:3">
      <c r="C474" s="239"/>
    </row>
    <row r="475" spans="3:3">
      <c r="C475" s="239"/>
    </row>
    <row r="476" spans="3:3">
      <c r="C476" s="239"/>
    </row>
    <row r="477" spans="3:3">
      <c r="C477" s="239"/>
    </row>
    <row r="478" spans="3:3">
      <c r="C478" s="239"/>
    </row>
    <row r="479" spans="3:3">
      <c r="C479" s="239"/>
    </row>
    <row r="480" spans="3:3">
      <c r="C480" s="239"/>
    </row>
    <row r="481" spans="3:3">
      <c r="C481" s="239"/>
    </row>
    <row r="482" spans="3:3">
      <c r="C482" s="239"/>
    </row>
    <row r="483" spans="3:3">
      <c r="C483" s="239"/>
    </row>
    <row r="484" spans="3:3">
      <c r="C484" s="239"/>
    </row>
    <row r="485" spans="3:3">
      <c r="C485" s="239"/>
    </row>
    <row r="486" spans="3:3">
      <c r="C486" s="239"/>
    </row>
    <row r="487" spans="3:3">
      <c r="C487" s="239"/>
    </row>
    <row r="488" spans="3:3">
      <c r="C488" s="239"/>
    </row>
    <row r="489" spans="3:3">
      <c r="C489" s="239"/>
    </row>
    <row r="490" spans="3:3">
      <c r="C490" s="239"/>
    </row>
    <row r="491" spans="3:3">
      <c r="C491" s="239"/>
    </row>
    <row r="492" spans="3:3">
      <c r="C492" s="239"/>
    </row>
    <row r="493" spans="3:3">
      <c r="C493" s="239"/>
    </row>
    <row r="494" spans="3:3">
      <c r="C494" s="239"/>
    </row>
    <row r="495" spans="3:3">
      <c r="C495" s="239"/>
    </row>
    <row r="496" spans="3:3">
      <c r="C496" s="239"/>
    </row>
    <row r="497" spans="3:3">
      <c r="C497" s="239"/>
    </row>
    <row r="498" spans="3:3">
      <c r="C498" s="239"/>
    </row>
    <row r="499" spans="3:3">
      <c r="C499" s="239"/>
    </row>
    <row r="500" spans="3:3">
      <c r="C500" s="239"/>
    </row>
    <row r="501" spans="3:3">
      <c r="C501" s="239"/>
    </row>
    <row r="502" spans="3:3">
      <c r="C502" s="239"/>
    </row>
    <row r="503" spans="3:3">
      <c r="C503" s="239"/>
    </row>
    <row r="504" spans="3:3">
      <c r="C504" s="239"/>
    </row>
    <row r="505" spans="3:3">
      <c r="C505" s="239"/>
    </row>
    <row r="506" spans="3:3">
      <c r="C506" s="239"/>
    </row>
    <row r="507" spans="3:3">
      <c r="C507" s="239"/>
    </row>
    <row r="508" spans="3:3">
      <c r="C508" s="239"/>
    </row>
    <row r="509" spans="3:3">
      <c r="C509" s="239"/>
    </row>
    <row r="510" spans="3:3">
      <c r="C510" s="239"/>
    </row>
    <row r="511" spans="3:3">
      <c r="C511" s="239"/>
    </row>
    <row r="512" spans="3:3">
      <c r="C512" s="239"/>
    </row>
    <row r="513" spans="3:3">
      <c r="C513" s="239"/>
    </row>
    <row r="514" spans="3:3">
      <c r="C514" s="239"/>
    </row>
    <row r="515" spans="3:3">
      <c r="C515" s="239"/>
    </row>
    <row r="516" spans="3:3">
      <c r="C516" s="239"/>
    </row>
    <row r="517" spans="3:3">
      <c r="C517" s="239"/>
    </row>
    <row r="518" spans="3:3">
      <c r="C518" s="239"/>
    </row>
    <row r="519" spans="3:3">
      <c r="C519" s="239"/>
    </row>
    <row r="520" spans="3:3">
      <c r="C520" s="239"/>
    </row>
    <row r="521" spans="3:3">
      <c r="C521" s="239"/>
    </row>
    <row r="522" spans="3:3">
      <c r="C522" s="239"/>
    </row>
    <row r="523" spans="3:3">
      <c r="C523" s="239"/>
    </row>
    <row r="524" spans="3:3">
      <c r="C524" s="239"/>
    </row>
    <row r="525" spans="3:3">
      <c r="C525" s="239"/>
    </row>
    <row r="526" spans="3:3">
      <c r="C526" s="239"/>
    </row>
    <row r="527" spans="3:3">
      <c r="C527" s="239"/>
    </row>
    <row r="528" spans="3:3">
      <c r="C528" s="239"/>
    </row>
    <row r="529" spans="3:3">
      <c r="C529" s="239"/>
    </row>
    <row r="530" spans="3:3">
      <c r="C530" s="239"/>
    </row>
    <row r="531" spans="3:3">
      <c r="C531" s="239"/>
    </row>
    <row r="532" spans="3:3">
      <c r="C532" s="239"/>
    </row>
    <row r="533" spans="3:3">
      <c r="C533" s="239"/>
    </row>
    <row r="534" spans="3:3">
      <c r="C534" s="239"/>
    </row>
    <row r="535" spans="3:3">
      <c r="C535" s="239"/>
    </row>
    <row r="536" spans="3:3">
      <c r="C536" s="239"/>
    </row>
    <row r="537" spans="3:3">
      <c r="C537" s="239"/>
    </row>
    <row r="538" spans="3:3">
      <c r="C538" s="239"/>
    </row>
    <row r="539" spans="3:3">
      <c r="C539" s="239"/>
    </row>
    <row r="540" spans="3:3">
      <c r="C540" s="239"/>
    </row>
    <row r="541" spans="3:3">
      <c r="C541" s="239"/>
    </row>
    <row r="542" spans="3:3">
      <c r="C542" s="239"/>
    </row>
    <row r="543" spans="3:3">
      <c r="C543" s="239"/>
    </row>
    <row r="544" spans="3:3">
      <c r="C544" s="239"/>
    </row>
    <row r="545" spans="3:3">
      <c r="C545" s="239"/>
    </row>
    <row r="546" spans="3:3">
      <c r="C546" s="239"/>
    </row>
    <row r="547" spans="3:3">
      <c r="C547" s="239"/>
    </row>
    <row r="548" spans="3:3">
      <c r="C548" s="239"/>
    </row>
    <row r="549" spans="3:3">
      <c r="C549" s="239"/>
    </row>
    <row r="550" spans="3:3">
      <c r="C550" s="239"/>
    </row>
    <row r="551" spans="3:3">
      <c r="C551" s="239"/>
    </row>
    <row r="552" spans="3:3">
      <c r="C552" s="239"/>
    </row>
    <row r="553" spans="3:3">
      <c r="C553" s="239"/>
    </row>
    <row r="554" spans="3:3">
      <c r="C554" s="239"/>
    </row>
    <row r="555" spans="3:3">
      <c r="C555" s="239"/>
    </row>
    <row r="556" spans="3:3">
      <c r="C556" s="239"/>
    </row>
    <row r="557" spans="3:3">
      <c r="C557" s="239"/>
    </row>
    <row r="558" spans="3:3">
      <c r="C558" s="239"/>
    </row>
  </sheetData>
  <mergeCells count="2">
    <mergeCell ref="C6:H6"/>
    <mergeCell ref="J6:K6"/>
  </mergeCells>
  <conditionalFormatting sqref="K37:K49 K9:K35">
    <cfRule type="dataBar" priority="4">
      <dataBar>
        <cfvo type="min"/>
        <cfvo type="max"/>
        <color rgb="FF638EC6"/>
      </dataBar>
      <extLst>
        <ext xmlns:x14="http://schemas.microsoft.com/office/spreadsheetml/2009/9/main" uri="{B025F937-C7B1-47D3-B67F-A62EFF666E3E}">
          <x14:id>{794E2B5D-073A-460C-A766-FD0B4EFA3E5E}</x14:id>
        </ext>
      </extLst>
    </cfRule>
  </conditionalFormatting>
  <conditionalFormatting sqref="K36">
    <cfRule type="dataBar" priority="1">
      <dataBar>
        <cfvo type="min"/>
        <cfvo type="max"/>
        <color rgb="FF638EC6"/>
      </dataBar>
      <extLst>
        <ext xmlns:x14="http://schemas.microsoft.com/office/spreadsheetml/2009/9/main" uri="{B025F937-C7B1-47D3-B67F-A62EFF666E3E}">
          <x14:id>{79937A7C-AAEA-4400-B8BC-26EB0BFEA339}</x14:id>
        </ext>
      </extLst>
    </cfRule>
  </conditionalFormatting>
  <pageMargins left="0.7" right="0.7" top="0.75" bottom="0.75" header="0.3" footer="0.3"/>
  <pageSetup paperSize="3" scale="84" fitToHeight="0" orientation="landscape" r:id="rId1"/>
  <ignoredErrors>
    <ignoredError sqref="G37 G40 G43 H25:I25 H37:I37 H40:I40 H43:I43 K25 K37 K40 K43" formula="1"/>
  </ignoredErrors>
  <legacyDrawingHF r:id="rId2"/>
  <extLst>
    <ext xmlns:x14="http://schemas.microsoft.com/office/spreadsheetml/2009/9/main" uri="{78C0D931-6437-407d-A8EE-F0AAD7539E65}">
      <x14:conditionalFormattings>
        <x14:conditionalFormatting xmlns:xm="http://schemas.microsoft.com/office/excel/2006/main">
          <x14:cfRule type="dataBar" id="{794E2B5D-073A-460C-A766-FD0B4EFA3E5E}">
            <x14:dataBar minLength="0" maxLength="100" border="1" negativeBarBorderColorSameAsPositive="0">
              <x14:cfvo type="autoMin"/>
              <x14:cfvo type="autoMax"/>
              <x14:borderColor rgb="FF638EC6"/>
              <x14:negativeFillColor rgb="FFFF0000"/>
              <x14:negativeBorderColor rgb="FFFF0000"/>
              <x14:axisColor rgb="FF000000"/>
            </x14:dataBar>
          </x14:cfRule>
          <xm:sqref>K37:K49 K9:K35</xm:sqref>
        </x14:conditionalFormatting>
        <x14:conditionalFormatting xmlns:xm="http://schemas.microsoft.com/office/excel/2006/main">
          <x14:cfRule type="dataBar" id="{79937A7C-AAEA-4400-B8BC-26EB0BFEA339}">
            <x14:dataBar minLength="0" maxLength="100" border="1" negativeBarBorderColorSameAsPositive="0">
              <x14:cfvo type="autoMin"/>
              <x14:cfvo type="autoMax"/>
              <x14:borderColor rgb="FF638EC6"/>
              <x14:negativeFillColor rgb="FFFF0000"/>
              <x14:negativeBorderColor rgb="FFFF0000"/>
              <x14:axisColor rgb="FF000000"/>
            </x14:dataBar>
          </x14:cfRule>
          <xm:sqref>K36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J77"/>
  <sheetViews>
    <sheetView showGridLines="0" topLeftCell="A19" zoomScale="90" zoomScaleNormal="90" zoomScaleSheetLayoutView="85" workbookViewId="0">
      <selection activeCell="B6" sqref="B6"/>
    </sheetView>
  </sheetViews>
  <sheetFormatPr baseColWidth="10" defaultColWidth="9.140625" defaultRowHeight="14.25"/>
  <cols>
    <col min="1" max="1" width="3.7109375" style="35" customWidth="1"/>
    <col min="2" max="2" width="56.42578125" style="3" customWidth="1"/>
    <col min="3" max="3" width="34.5703125" style="3" customWidth="1"/>
    <col min="4" max="4" width="24.140625" style="3" customWidth="1"/>
    <col min="5" max="5" width="26.85546875" style="35" customWidth="1"/>
    <col min="6" max="6" width="26.85546875" style="3" customWidth="1"/>
    <col min="7" max="7" width="18" style="3" bestFit="1" customWidth="1"/>
    <col min="8" max="8" width="19.5703125" style="3" bestFit="1" customWidth="1"/>
    <col min="9" max="9" width="21.140625" style="3" customWidth="1"/>
    <col min="10" max="16384" width="9.140625" style="3"/>
  </cols>
  <sheetData>
    <row r="1" spans="1:10" s="5" customFormat="1" ht="15.75" thickBot="1">
      <c r="A1" s="36"/>
      <c r="B1" s="4" t="s">
        <v>0</v>
      </c>
      <c r="E1" s="36"/>
    </row>
    <row r="2" spans="1:10">
      <c r="B2" s="2"/>
      <c r="C2" s="2"/>
    </row>
    <row r="3" spans="1:10" ht="15.75" thickBot="1">
      <c r="B3" s="342" t="s">
        <v>98</v>
      </c>
      <c r="C3" s="343"/>
      <c r="J3" s="37"/>
    </row>
    <row r="4" spans="1:10" s="35" customFormat="1" ht="15" thickTop="1">
      <c r="B4" s="395" t="s">
        <v>53</v>
      </c>
      <c r="C4" s="608">
        <v>2019</v>
      </c>
      <c r="J4" s="37"/>
    </row>
    <row r="5" spans="1:10">
      <c r="B5" s="395" t="s">
        <v>215</v>
      </c>
      <c r="C5" s="609" t="s">
        <v>225</v>
      </c>
      <c r="J5" s="37"/>
    </row>
    <row r="6" spans="1:10">
      <c r="B6" s="398" t="s">
        <v>219</v>
      </c>
      <c r="C6" s="610">
        <v>2018</v>
      </c>
      <c r="J6" s="37"/>
    </row>
    <row r="7" spans="1:10" ht="18.75" customHeight="1">
      <c r="C7" s="248"/>
      <c r="J7" s="37"/>
    </row>
    <row r="8" spans="1:10" ht="15">
      <c r="B8" s="441" t="s">
        <v>72</v>
      </c>
      <c r="C8" s="442"/>
      <c r="D8" s="617"/>
      <c r="E8" s="617"/>
      <c r="F8" s="617"/>
      <c r="J8" s="37"/>
    </row>
    <row r="9" spans="1:10" s="35" customFormat="1" ht="15.75" customHeight="1">
      <c r="B9" s="443" t="str">
        <f>"Coûts nets déclarés par les municipalités " &amp;AnnéeRéf</f>
        <v>Coûts nets déclarés par les municipalités 2018</v>
      </c>
      <c r="C9" s="603">
        <v>174135251.39759976</v>
      </c>
      <c r="D9" s="525" t="s">
        <v>210</v>
      </c>
      <c r="E9" s="340"/>
      <c r="F9" s="340"/>
      <c r="J9" s="37"/>
    </row>
    <row r="10" spans="1:10" ht="15.75" customHeight="1">
      <c r="B10" s="395" t="s">
        <v>173</v>
      </c>
      <c r="C10" s="599">
        <v>-6.6000000000000003E-2</v>
      </c>
      <c r="D10" s="525"/>
      <c r="E10" s="340"/>
      <c r="F10" s="340"/>
      <c r="J10" s="37"/>
    </row>
    <row r="11" spans="1:10" s="35" customFormat="1" ht="15.75" customHeight="1">
      <c r="B11" s="395" t="s">
        <v>145</v>
      </c>
      <c r="C11" s="604">
        <v>-0.104361257</v>
      </c>
      <c r="D11" s="525" t="s">
        <v>210</v>
      </c>
      <c r="E11" s="440"/>
      <c r="F11" s="383"/>
      <c r="J11" s="37"/>
    </row>
    <row r="12" spans="1:10" ht="15.75" customHeight="1">
      <c r="B12" s="395" t="s">
        <v>106</v>
      </c>
      <c r="C12" s="605">
        <f>8.55%</f>
        <v>8.5500000000000007E-2</v>
      </c>
      <c r="D12" s="448" t="s">
        <v>149</v>
      </c>
      <c r="E12" s="472"/>
      <c r="F12" s="472"/>
      <c r="J12" s="37"/>
    </row>
    <row r="13" spans="1:10" ht="15.75" customHeight="1">
      <c r="B13" s="397" t="s">
        <v>104</v>
      </c>
      <c r="C13" s="601">
        <v>1</v>
      </c>
      <c r="D13" s="448" t="s">
        <v>150</v>
      </c>
      <c r="E13" s="472"/>
      <c r="F13" s="472"/>
      <c r="J13" s="37"/>
    </row>
    <row r="14" spans="1:10" ht="15.75" customHeight="1">
      <c r="B14" s="395" t="s">
        <v>105</v>
      </c>
      <c r="C14" s="599">
        <f>PartCoutImprimés+PartCoutContenants</f>
        <v>0.91699999999999993</v>
      </c>
      <c r="D14" s="614"/>
      <c r="E14" s="614"/>
      <c r="F14" s="614"/>
      <c r="J14" s="37"/>
    </row>
    <row r="15" spans="1:10" s="35" customFormat="1" ht="15.75" customHeight="1">
      <c r="B15" s="395" t="s">
        <v>146</v>
      </c>
      <c r="C15" s="593">
        <v>11127160</v>
      </c>
      <c r="D15" s="433" t="s">
        <v>148</v>
      </c>
      <c r="E15" s="340"/>
      <c r="F15" s="340"/>
      <c r="J15" s="37"/>
    </row>
    <row r="16" spans="1:10" ht="15.75" customHeight="1">
      <c r="B16" s="395" t="s">
        <v>107</v>
      </c>
      <c r="C16" s="606">
        <v>0.02</v>
      </c>
      <c r="D16" s="433" t="s">
        <v>147</v>
      </c>
      <c r="E16" s="340"/>
      <c r="F16" s="340"/>
      <c r="J16" s="37"/>
    </row>
    <row r="17" spans="2:10" ht="15.75" customHeight="1">
      <c r="B17" s="395" t="s">
        <v>63</v>
      </c>
      <c r="C17" s="595">
        <v>3000000</v>
      </c>
      <c r="D17" s="614"/>
      <c r="E17" s="614"/>
      <c r="F17" s="614"/>
      <c r="J17" s="37"/>
    </row>
    <row r="18" spans="2:10" ht="15.75" customHeight="1">
      <c r="B18" s="395" t="s">
        <v>108</v>
      </c>
      <c r="C18" s="595">
        <v>2500000</v>
      </c>
      <c r="D18" s="614"/>
      <c r="E18" s="614"/>
      <c r="F18" s="614"/>
      <c r="J18" s="37"/>
    </row>
    <row r="19" spans="2:10" ht="15.75" customHeight="1">
      <c r="B19" s="395" t="s">
        <v>2</v>
      </c>
      <c r="C19" s="607">
        <v>0.02</v>
      </c>
      <c r="D19" s="440"/>
      <c r="E19" s="384"/>
      <c r="F19" s="384"/>
      <c r="G19" s="137"/>
      <c r="H19" s="137"/>
      <c r="I19" s="137"/>
      <c r="J19" s="37"/>
    </row>
    <row r="20" spans="2:10" s="35" customFormat="1" ht="15.75" customHeight="1">
      <c r="B20" s="396" t="s">
        <v>180</v>
      </c>
      <c r="C20" s="596">
        <v>-1603397.3099999998</v>
      </c>
      <c r="D20" s="433"/>
      <c r="E20" s="384"/>
      <c r="F20" s="384"/>
      <c r="G20" s="137"/>
      <c r="H20" s="137"/>
      <c r="I20" s="137"/>
      <c r="J20" s="37"/>
    </row>
    <row r="21" spans="2:10" ht="20.25" customHeight="1">
      <c r="C21" s="248"/>
      <c r="D21" s="338"/>
      <c r="J21" s="37"/>
    </row>
    <row r="22" spans="2:10" ht="15.75" thickBot="1">
      <c r="B22" s="344" t="s">
        <v>54</v>
      </c>
      <c r="C22" s="345"/>
      <c r="D22" s="338"/>
      <c r="J22" s="37"/>
    </row>
    <row r="23" spans="2:10" ht="15" thickTop="1">
      <c r="B23" s="395" t="s">
        <v>102</v>
      </c>
      <c r="C23" s="601">
        <v>0.4</v>
      </c>
      <c r="D23" s="338"/>
      <c r="J23" s="37"/>
    </row>
    <row r="24" spans="2:10">
      <c r="B24" s="395" t="s">
        <v>103</v>
      </c>
      <c r="C24" s="601">
        <v>0.4</v>
      </c>
      <c r="D24" s="338"/>
      <c r="J24" s="37"/>
    </row>
    <row r="25" spans="2:10">
      <c r="B25" s="395" t="s">
        <v>101</v>
      </c>
      <c r="C25" s="601">
        <v>0.2</v>
      </c>
      <c r="D25" s="338"/>
      <c r="J25" s="37"/>
    </row>
    <row r="26" spans="2:10">
      <c r="B26" s="398" t="s">
        <v>47</v>
      </c>
      <c r="C26" s="602">
        <v>1</v>
      </c>
      <c r="D26" s="338"/>
      <c r="J26" s="37"/>
    </row>
    <row r="27" spans="2:10" ht="21" customHeight="1">
      <c r="C27" s="248"/>
      <c r="D27" s="338"/>
      <c r="J27" s="37"/>
    </row>
    <row r="28" spans="2:10" ht="15.75" thickBot="1">
      <c r="B28" s="346" t="s">
        <v>3</v>
      </c>
      <c r="C28" s="345"/>
      <c r="D28" s="338"/>
      <c r="J28" s="37"/>
    </row>
    <row r="29" spans="2:10" ht="15" thickTop="1">
      <c r="B29" s="395" t="s">
        <v>1</v>
      </c>
      <c r="C29" s="599">
        <v>0.20899999999999999</v>
      </c>
      <c r="D29" s="339"/>
      <c r="J29" s="37"/>
    </row>
    <row r="30" spans="2:10">
      <c r="B30" s="398" t="s">
        <v>4</v>
      </c>
      <c r="C30" s="600">
        <v>0.70799999999999996</v>
      </c>
      <c r="D30" s="339"/>
      <c r="J30" s="37"/>
    </row>
    <row r="31" spans="2:10" ht="19.5" customHeight="1">
      <c r="C31" s="248"/>
      <c r="D31" s="338"/>
      <c r="J31" s="37"/>
    </row>
    <row r="32" spans="2:10" ht="15.75" thickBot="1">
      <c r="B32" s="344" t="s">
        <v>6</v>
      </c>
      <c r="C32" s="345"/>
      <c r="D32" s="338"/>
      <c r="J32" s="37"/>
    </row>
    <row r="33" spans="2:9" ht="15" customHeight="1" thickTop="1">
      <c r="B33" s="399" t="s">
        <v>99</v>
      </c>
      <c r="C33" s="597">
        <v>0.15</v>
      </c>
      <c r="D33" s="363"/>
    </row>
    <row r="34" spans="2:9">
      <c r="B34" s="400" t="s">
        <v>100</v>
      </c>
      <c r="C34" s="598">
        <v>0.2</v>
      </c>
      <c r="D34" s="363"/>
      <c r="F34" s="35"/>
    </row>
    <row r="35" spans="2:9" ht="20.25" customHeight="1">
      <c r="B35" s="7"/>
      <c r="C35" s="249"/>
      <c r="D35" s="338"/>
      <c r="G35" s="267"/>
    </row>
    <row r="36" spans="2:9" ht="15.75" thickBot="1">
      <c r="B36" s="346" t="s">
        <v>64</v>
      </c>
      <c r="C36" s="347"/>
      <c r="D36" s="338"/>
      <c r="F36" s="268"/>
    </row>
    <row r="37" spans="2:9" ht="15" thickTop="1">
      <c r="B37" s="395" t="s">
        <v>95</v>
      </c>
      <c r="C37" s="593"/>
      <c r="D37" s="341"/>
      <c r="F37" s="268"/>
      <c r="G37" s="269"/>
    </row>
    <row r="38" spans="2:9">
      <c r="B38" s="395" t="s">
        <v>96</v>
      </c>
      <c r="C38" s="594">
        <v>0</v>
      </c>
      <c r="D38" s="363"/>
      <c r="E38" s="618"/>
      <c r="F38" s="618"/>
      <c r="G38" s="618"/>
      <c r="H38" s="618"/>
      <c r="I38" s="618"/>
    </row>
    <row r="39" spans="2:9" ht="15">
      <c r="B39" s="401" t="s">
        <v>153</v>
      </c>
      <c r="C39" s="402"/>
      <c r="D39" s="137"/>
      <c r="E39" s="618"/>
      <c r="F39" s="618"/>
      <c r="G39" s="618"/>
      <c r="H39" s="618"/>
      <c r="I39" s="618"/>
    </row>
    <row r="40" spans="2:9" s="35" customFormat="1">
      <c r="B40" s="403" t="s">
        <v>154</v>
      </c>
      <c r="C40" s="595">
        <v>0</v>
      </c>
      <c r="D40" s="420"/>
      <c r="E40" s="394"/>
      <c r="F40" s="394"/>
      <c r="G40" s="394"/>
      <c r="H40" s="394"/>
      <c r="I40" s="394"/>
    </row>
    <row r="41" spans="2:9" s="35" customFormat="1">
      <c r="B41" s="395" t="s">
        <v>1</v>
      </c>
      <c r="C41" s="595">
        <v>-2000000</v>
      </c>
      <c r="D41" s="137"/>
      <c r="E41" s="394"/>
      <c r="F41" s="394"/>
      <c r="G41" s="394"/>
      <c r="H41" s="394"/>
      <c r="I41" s="394"/>
    </row>
    <row r="42" spans="2:9" s="35" customFormat="1">
      <c r="B42" s="396" t="s">
        <v>4</v>
      </c>
      <c r="C42" s="596">
        <v>-2000000</v>
      </c>
      <c r="D42" s="137"/>
      <c r="E42" s="394"/>
      <c r="F42" s="394"/>
      <c r="G42" s="394"/>
      <c r="H42" s="394"/>
      <c r="I42" s="394"/>
    </row>
    <row r="43" spans="2:9" ht="24.75" customHeight="1" thickBot="1">
      <c r="F43" s="268"/>
    </row>
    <row r="44" spans="2:9" ht="15">
      <c r="C44" s="615" t="s">
        <v>216</v>
      </c>
      <c r="D44" s="616"/>
      <c r="E44" s="3"/>
      <c r="F44" s="268"/>
    </row>
    <row r="45" spans="2:9" ht="30.75" thickBot="1">
      <c r="B45" s="474" t="s">
        <v>155</v>
      </c>
      <c r="C45" s="160" t="s">
        <v>194</v>
      </c>
      <c r="D45" s="160" t="s">
        <v>195</v>
      </c>
      <c r="E45" s="160" t="s">
        <v>196</v>
      </c>
      <c r="F45" s="231" t="s">
        <v>212</v>
      </c>
    </row>
    <row r="46" spans="2:9" ht="15" thickTop="1">
      <c r="B46" s="475" t="s">
        <v>7</v>
      </c>
      <c r="C46" s="587">
        <v>215.65465096683312</v>
      </c>
      <c r="D46" s="587">
        <v>78.408217918424057</v>
      </c>
      <c r="E46" s="588">
        <v>0</v>
      </c>
      <c r="F46" s="476"/>
    </row>
    <row r="47" spans="2:9">
      <c r="B47" s="477" t="s">
        <v>8</v>
      </c>
      <c r="C47" s="589">
        <v>212.38542417294821</v>
      </c>
      <c r="D47" s="589">
        <v>75.102662076530478</v>
      </c>
      <c r="E47" s="590">
        <v>0</v>
      </c>
      <c r="F47" s="478"/>
    </row>
    <row r="48" spans="2:9">
      <c r="B48" s="477" t="s">
        <v>5</v>
      </c>
      <c r="C48" s="589">
        <v>211.2485633866317</v>
      </c>
      <c r="D48" s="589">
        <v>77.24356967989938</v>
      </c>
      <c r="E48" s="590">
        <v>0</v>
      </c>
      <c r="F48" s="478"/>
    </row>
    <row r="49" spans="2:6">
      <c r="B49" s="477" t="s">
        <v>9</v>
      </c>
      <c r="C49" s="589">
        <v>211.76915496266679</v>
      </c>
      <c r="D49" s="589">
        <v>74.850648547240993</v>
      </c>
      <c r="E49" s="590">
        <v>0</v>
      </c>
      <c r="F49" s="478"/>
    </row>
    <row r="50" spans="2:6">
      <c r="B50" s="477" t="s">
        <v>11</v>
      </c>
      <c r="C50" s="589">
        <v>214.94159247117807</v>
      </c>
      <c r="D50" s="589">
        <v>74.307488737976755</v>
      </c>
      <c r="E50" s="590">
        <v>0</v>
      </c>
      <c r="F50" s="478"/>
    </row>
    <row r="51" spans="2:6">
      <c r="B51" s="477" t="s">
        <v>10</v>
      </c>
      <c r="C51" s="589">
        <v>217.7418299392032</v>
      </c>
      <c r="D51" s="589">
        <v>68.573586191713474</v>
      </c>
      <c r="E51" s="590">
        <v>0</v>
      </c>
      <c r="F51" s="478"/>
    </row>
    <row r="52" spans="2:6">
      <c r="B52" s="477" t="s">
        <v>12</v>
      </c>
      <c r="C52" s="589">
        <v>283.2798412248128</v>
      </c>
      <c r="D52" s="589">
        <v>93.68998632080762</v>
      </c>
      <c r="E52" s="590">
        <v>126787.31715646117</v>
      </c>
      <c r="F52" s="478"/>
    </row>
    <row r="53" spans="2:6">
      <c r="B53" s="477" t="s">
        <v>128</v>
      </c>
      <c r="C53" s="589">
        <v>283.2798412248128</v>
      </c>
      <c r="D53" s="589">
        <v>93.68998632080762</v>
      </c>
      <c r="E53" s="590">
        <v>6984.5317649722629</v>
      </c>
      <c r="F53" s="478"/>
    </row>
    <row r="54" spans="2:6">
      <c r="B54" s="477" t="s">
        <v>110</v>
      </c>
      <c r="C54" s="589">
        <v>283.2798412248128</v>
      </c>
      <c r="D54" s="589">
        <v>93.68998632080762</v>
      </c>
      <c r="E54" s="590">
        <v>4402.4842419189736</v>
      </c>
      <c r="F54" s="478"/>
    </row>
    <row r="55" spans="2:6">
      <c r="B55" s="477" t="s">
        <v>13</v>
      </c>
      <c r="C55" s="589">
        <v>259.66250181102873</v>
      </c>
      <c r="D55" s="589">
        <v>76.451627489198557</v>
      </c>
      <c r="E55" s="590">
        <v>198557.60799695767</v>
      </c>
      <c r="F55" s="478"/>
    </row>
    <row r="56" spans="2:6">
      <c r="B56" s="477" t="s">
        <v>14</v>
      </c>
      <c r="C56" s="589">
        <v>287.44345511818813</v>
      </c>
      <c r="D56" s="589">
        <v>72.915491863072418</v>
      </c>
      <c r="E56" s="590">
        <v>23647.776488251198</v>
      </c>
      <c r="F56" s="478"/>
    </row>
    <row r="57" spans="2:6">
      <c r="B57" s="477" t="s">
        <v>15</v>
      </c>
      <c r="C57" s="589">
        <v>301.24764590318324</v>
      </c>
      <c r="D57" s="589">
        <v>37.009893767440225</v>
      </c>
      <c r="E57" s="590">
        <v>29379.548240155935</v>
      </c>
      <c r="F57" s="478"/>
    </row>
    <row r="58" spans="2:6">
      <c r="B58" s="477" t="s">
        <v>16</v>
      </c>
      <c r="C58" s="589">
        <v>288.99954007779075</v>
      </c>
      <c r="D58" s="589">
        <v>64.475038036018375</v>
      </c>
      <c r="E58" s="590">
        <v>13245.412052988464</v>
      </c>
      <c r="F58" s="478"/>
    </row>
    <row r="59" spans="2:6">
      <c r="B59" s="477" t="s">
        <v>24</v>
      </c>
      <c r="C59" s="589">
        <v>502.04989326084126</v>
      </c>
      <c r="D59" s="589">
        <v>210.26880550634357</v>
      </c>
      <c r="E59" s="590">
        <v>130295.62774662119</v>
      </c>
      <c r="F59" s="478"/>
    </row>
    <row r="60" spans="2:6">
      <c r="B60" s="477" t="s">
        <v>25</v>
      </c>
      <c r="C60" s="589">
        <v>435.96853696724213</v>
      </c>
      <c r="D60" s="589">
        <v>424.28662041482266</v>
      </c>
      <c r="E60" s="590">
        <v>87485.327982423158</v>
      </c>
      <c r="F60" s="478"/>
    </row>
    <row r="61" spans="2:6">
      <c r="B61" s="477" t="s">
        <v>23</v>
      </c>
      <c r="C61" s="589">
        <v>607.46660078724142</v>
      </c>
      <c r="D61" s="589">
        <v>-55.519554461940743</v>
      </c>
      <c r="E61" s="590">
        <v>84006.95993108234</v>
      </c>
      <c r="F61" s="478"/>
    </row>
    <row r="62" spans="2:6">
      <c r="B62" s="477" t="s">
        <v>26</v>
      </c>
      <c r="C62" s="589">
        <v>622.23412713720745</v>
      </c>
      <c r="D62" s="589">
        <v>5.2214900955825367</v>
      </c>
      <c r="E62" s="590">
        <v>94334.055534354367</v>
      </c>
      <c r="F62" s="478"/>
    </row>
    <row r="63" spans="2:6">
      <c r="B63" s="477" t="s">
        <v>203</v>
      </c>
      <c r="C63" s="589">
        <v>622.23412713720745</v>
      </c>
      <c r="D63" s="589">
        <v>5.2214900955825367</v>
      </c>
      <c r="E63" s="590">
        <v>40335.705586908429</v>
      </c>
      <c r="F63" s="478"/>
    </row>
    <row r="64" spans="2:6">
      <c r="B64" s="477" t="s">
        <v>161</v>
      </c>
      <c r="C64" s="589">
        <v>2328.030301847994</v>
      </c>
      <c r="D64" s="589">
        <v>-23.682716482109601</v>
      </c>
      <c r="E64" s="590">
        <v>16381.8799430012</v>
      </c>
      <c r="F64" s="478"/>
    </row>
    <row r="65" spans="2:6">
      <c r="B65" s="477" t="s">
        <v>162</v>
      </c>
      <c r="C65" s="589">
        <v>2328.030301847994</v>
      </c>
      <c r="D65" s="589">
        <v>-23.682716482109601</v>
      </c>
      <c r="E65" s="590">
        <v>7573.5300888553074</v>
      </c>
      <c r="F65" s="478"/>
    </row>
    <row r="66" spans="2:6">
      <c r="B66" s="477" t="s">
        <v>27</v>
      </c>
      <c r="C66" s="589">
        <v>447.53303645025329</v>
      </c>
      <c r="D66" s="589">
        <v>9.3037188833314417</v>
      </c>
      <c r="E66" s="590">
        <v>20259.31685385566</v>
      </c>
      <c r="F66" s="478"/>
    </row>
    <row r="67" spans="2:6">
      <c r="B67" s="477" t="s">
        <v>129</v>
      </c>
      <c r="C67" s="589">
        <v>425.60489155507349</v>
      </c>
      <c r="D67" s="589">
        <v>34.980630600158555</v>
      </c>
      <c r="E67" s="590">
        <v>36125.657106447514</v>
      </c>
      <c r="F67" s="478"/>
    </row>
    <row r="68" spans="2:6">
      <c r="B68" s="477" t="s">
        <v>217</v>
      </c>
      <c r="C68" s="589">
        <v>407.25991279958509</v>
      </c>
      <c r="D68" s="589">
        <v>137.21267029489488</v>
      </c>
      <c r="E68" s="590">
        <v>2249.2676517977725</v>
      </c>
      <c r="F68" s="478"/>
    </row>
    <row r="69" spans="2:6" ht="15" customHeight="1">
      <c r="B69" s="477" t="s">
        <v>28</v>
      </c>
      <c r="C69" s="589">
        <v>379.75720829472294</v>
      </c>
      <c r="D69" s="589">
        <v>114.32903281974974</v>
      </c>
      <c r="E69" s="590">
        <v>155277.96844403035</v>
      </c>
      <c r="F69" s="478"/>
    </row>
    <row r="70" spans="2:6">
      <c r="B70" s="477" t="s">
        <v>202</v>
      </c>
      <c r="C70" s="589">
        <v>456.02053351126233</v>
      </c>
      <c r="D70" s="589">
        <v>639.0319910388497</v>
      </c>
      <c r="E70" s="590">
        <v>12413.92059538297</v>
      </c>
      <c r="F70" s="478"/>
    </row>
    <row r="71" spans="2:6">
      <c r="B71" s="477" t="s">
        <v>21</v>
      </c>
      <c r="C71" s="589">
        <v>424.40232543120288</v>
      </c>
      <c r="D71" s="589">
        <v>436.91756452611196</v>
      </c>
      <c r="E71" s="590">
        <v>20975.441412620414</v>
      </c>
      <c r="F71" s="478"/>
    </row>
    <row r="72" spans="2:6">
      <c r="B72" s="477" t="s">
        <v>201</v>
      </c>
      <c r="C72" s="589">
        <v>243.48742625638928</v>
      </c>
      <c r="D72" s="589">
        <v>190.5970718234482</v>
      </c>
      <c r="E72" s="590">
        <v>10569.505977499422</v>
      </c>
      <c r="F72" s="478"/>
    </row>
    <row r="73" spans="2:6">
      <c r="B73" s="477" t="s">
        <v>20</v>
      </c>
      <c r="C73" s="589">
        <v>274.70098422097146</v>
      </c>
      <c r="D73" s="589">
        <v>170.7123124504144</v>
      </c>
      <c r="E73" s="590">
        <v>102226.81031604452</v>
      </c>
      <c r="F73" s="478"/>
    </row>
    <row r="74" spans="2:6">
      <c r="B74" s="477" t="s">
        <v>18</v>
      </c>
      <c r="C74" s="589">
        <v>179.16746386321736</v>
      </c>
      <c r="D74" s="589">
        <v>-22.026946096764632</v>
      </c>
      <c r="E74" s="590">
        <v>232935.55122401885</v>
      </c>
      <c r="F74" s="478"/>
    </row>
    <row r="75" spans="2:6">
      <c r="B75" s="479" t="s">
        <v>19</v>
      </c>
      <c r="C75" s="591">
        <v>178.21597475518263</v>
      </c>
      <c r="D75" s="591">
        <v>-23.051819692792051</v>
      </c>
      <c r="E75" s="592">
        <v>343548.79566335061</v>
      </c>
      <c r="F75" s="480"/>
    </row>
    <row r="76" spans="2:6">
      <c r="B76" s="94"/>
      <c r="C76" s="37"/>
      <c r="D76" s="37"/>
    </row>
    <row r="77" spans="2:6">
      <c r="B77" s="94"/>
    </row>
  </sheetData>
  <mergeCells count="6">
    <mergeCell ref="D14:F14"/>
    <mergeCell ref="C44:D44"/>
    <mergeCell ref="D8:F8"/>
    <mergeCell ref="D17:F17"/>
    <mergeCell ref="D18:F18"/>
    <mergeCell ref="E38:I39"/>
  </mergeCells>
  <pageMargins left="0.7" right="0.7" top="0.75" bottom="0.75" header="0.3" footer="0.3"/>
  <pageSetup scale="50" fitToHeight="0" orientation="landscape"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U46"/>
  <sheetViews>
    <sheetView showGridLines="0" topLeftCell="A10" zoomScale="90" zoomScaleNormal="90" zoomScaleSheetLayoutView="90" workbookViewId="0">
      <selection activeCell="F15" sqref="F15"/>
    </sheetView>
  </sheetViews>
  <sheetFormatPr baseColWidth="10" defaultColWidth="9.140625" defaultRowHeight="14.25"/>
  <cols>
    <col min="1" max="1" width="2.28515625" style="35" customWidth="1"/>
    <col min="2" max="2" width="16.42578125" style="3" customWidth="1"/>
    <col min="3" max="3" width="52.140625" style="3" bestFit="1" customWidth="1"/>
    <col min="4" max="4" width="15.85546875" style="3" customWidth="1"/>
    <col min="5" max="5" width="20.140625" style="3" bestFit="1" customWidth="1"/>
    <col min="6" max="6" width="18.85546875" style="3" customWidth="1"/>
    <col min="7" max="16384" width="9.140625" style="3"/>
  </cols>
  <sheetData>
    <row r="1" spans="1:11" s="35" customFormat="1"/>
    <row r="2" spans="1:11" s="5" customFormat="1" ht="15.75" thickBot="1">
      <c r="A2" s="36"/>
      <c r="B2" s="4"/>
    </row>
    <row r="3" spans="1:11" s="7" customFormat="1">
      <c r="A3" s="37"/>
      <c r="B3" s="273"/>
      <c r="C3" s="273"/>
      <c r="D3" s="273"/>
    </row>
    <row r="4" spans="1:11" ht="40.5" customHeight="1">
      <c r="B4" s="620" t="s">
        <v>213</v>
      </c>
      <c r="C4" s="621"/>
      <c r="D4" s="621"/>
      <c r="E4" s="621"/>
    </row>
    <row r="5" spans="1:11" ht="45">
      <c r="B5" s="253" t="s">
        <v>109</v>
      </c>
      <c r="C5" s="254" t="s">
        <v>36</v>
      </c>
      <c r="D5" s="255" t="s">
        <v>142</v>
      </c>
      <c r="E5" s="255" t="s">
        <v>143</v>
      </c>
    </row>
    <row r="6" spans="1:11" ht="15">
      <c r="B6" s="12" t="s">
        <v>1</v>
      </c>
      <c r="C6" s="37" t="s">
        <v>7</v>
      </c>
      <c r="D6" s="547">
        <v>111</v>
      </c>
      <c r="E6" s="548">
        <v>92875492</v>
      </c>
      <c r="F6" s="423"/>
      <c r="I6"/>
      <c r="J6"/>
      <c r="K6"/>
    </row>
    <row r="7" spans="1:11" s="35" customFormat="1" ht="15">
      <c r="B7" s="41" t="s">
        <v>1</v>
      </c>
      <c r="C7" s="37" t="s">
        <v>8</v>
      </c>
      <c r="D7" s="549">
        <v>165</v>
      </c>
      <c r="E7" s="550">
        <v>11747308</v>
      </c>
      <c r="F7" s="423"/>
      <c r="I7"/>
      <c r="J7"/>
      <c r="K7"/>
    </row>
    <row r="8" spans="1:11" ht="15">
      <c r="B8" s="41" t="s">
        <v>1</v>
      </c>
      <c r="C8" s="37" t="s">
        <v>5</v>
      </c>
      <c r="D8" s="549">
        <v>60</v>
      </c>
      <c r="E8" s="550">
        <v>6696562</v>
      </c>
      <c r="F8" s="423"/>
      <c r="I8"/>
      <c r="J8"/>
      <c r="K8"/>
    </row>
    <row r="9" spans="1:11" ht="15">
      <c r="B9" s="41" t="s">
        <v>1</v>
      </c>
      <c r="C9" s="37" t="s">
        <v>9</v>
      </c>
      <c r="D9" s="549">
        <v>2</v>
      </c>
      <c r="E9" s="550">
        <v>587060</v>
      </c>
      <c r="F9" s="423"/>
      <c r="I9"/>
      <c r="J9"/>
      <c r="K9"/>
    </row>
    <row r="10" spans="1:11" ht="15">
      <c r="B10" s="41" t="s">
        <v>1</v>
      </c>
      <c r="C10" s="37" t="s">
        <v>11</v>
      </c>
      <c r="D10" s="549">
        <v>94</v>
      </c>
      <c r="E10" s="550">
        <v>4563414</v>
      </c>
      <c r="F10" s="423"/>
      <c r="I10"/>
      <c r="J10"/>
      <c r="K10"/>
    </row>
    <row r="11" spans="1:11" ht="15">
      <c r="B11" s="41" t="s">
        <v>1</v>
      </c>
      <c r="C11" s="37" t="s">
        <v>10</v>
      </c>
      <c r="D11" s="549">
        <v>591</v>
      </c>
      <c r="E11" s="550">
        <v>23867183</v>
      </c>
      <c r="F11" s="423"/>
      <c r="I11"/>
      <c r="J11"/>
      <c r="K11"/>
    </row>
    <row r="12" spans="1:11" ht="15">
      <c r="B12" s="41" t="s">
        <v>37</v>
      </c>
      <c r="C12" s="37" t="s">
        <v>12</v>
      </c>
      <c r="D12" s="549">
        <v>506</v>
      </c>
      <c r="E12" s="550">
        <v>57058644</v>
      </c>
      <c r="F12" s="423"/>
      <c r="I12"/>
      <c r="J12"/>
      <c r="K12"/>
    </row>
    <row r="13" spans="1:11" ht="15">
      <c r="B13" s="41" t="s">
        <v>37</v>
      </c>
      <c r="C13" s="37" t="s">
        <v>128</v>
      </c>
      <c r="D13" s="549">
        <v>83</v>
      </c>
      <c r="E13" s="550">
        <v>3143279</v>
      </c>
      <c r="F13" s="423"/>
      <c r="I13"/>
      <c r="J13"/>
      <c r="K13"/>
    </row>
    <row r="14" spans="1:11" ht="15">
      <c r="B14" s="41" t="s">
        <v>37</v>
      </c>
      <c r="C14" s="37" t="s">
        <v>110</v>
      </c>
      <c r="D14" s="549">
        <v>50</v>
      </c>
      <c r="E14" s="550">
        <v>1981269</v>
      </c>
      <c r="F14" s="423"/>
      <c r="I14"/>
      <c r="J14"/>
      <c r="K14"/>
    </row>
    <row r="15" spans="1:11" ht="15">
      <c r="B15" s="41" t="s">
        <v>37</v>
      </c>
      <c r="C15" s="37" t="s">
        <v>13</v>
      </c>
      <c r="D15" s="549">
        <v>673</v>
      </c>
      <c r="E15" s="550">
        <v>89357738</v>
      </c>
      <c r="F15" s="423"/>
      <c r="I15"/>
      <c r="J15"/>
      <c r="K15"/>
    </row>
    <row r="16" spans="1:11" ht="15">
      <c r="B16" s="41" t="s">
        <v>37</v>
      </c>
      <c r="C16" s="37" t="s">
        <v>14</v>
      </c>
      <c r="D16" s="549">
        <v>47</v>
      </c>
      <c r="E16" s="550">
        <v>10642311</v>
      </c>
      <c r="F16" s="423"/>
      <c r="I16"/>
      <c r="J16"/>
      <c r="K16"/>
    </row>
    <row r="17" spans="2:21" ht="15">
      <c r="B17" s="41" t="s">
        <v>37</v>
      </c>
      <c r="C17" s="37" t="s">
        <v>15</v>
      </c>
      <c r="D17" s="549">
        <v>317</v>
      </c>
      <c r="E17" s="550">
        <v>13221805</v>
      </c>
      <c r="F17" s="423"/>
      <c r="I17"/>
      <c r="J17"/>
      <c r="K17"/>
      <c r="N17" s="537"/>
      <c r="O17" s="537"/>
      <c r="P17" s="538"/>
      <c r="Q17" s="537"/>
      <c r="R17" s="539"/>
      <c r="S17" s="538"/>
      <c r="T17" s="540"/>
      <c r="U17" s="137"/>
    </row>
    <row r="18" spans="2:21" s="35" customFormat="1" ht="15">
      <c r="B18" s="41" t="s">
        <v>37</v>
      </c>
      <c r="C18" s="37" t="s">
        <v>16</v>
      </c>
      <c r="D18" s="549">
        <v>47</v>
      </c>
      <c r="E18" s="550">
        <v>5960890</v>
      </c>
      <c r="F18" s="423"/>
      <c r="I18"/>
      <c r="J18"/>
      <c r="K18"/>
      <c r="N18" s="537"/>
      <c r="O18" s="537"/>
      <c r="P18" s="538"/>
      <c r="Q18" s="537"/>
      <c r="R18" s="539"/>
      <c r="S18" s="538"/>
      <c r="T18" s="540"/>
      <c r="U18" s="137"/>
    </row>
    <row r="19" spans="2:21" s="35" customFormat="1" ht="15">
      <c r="B19" s="41" t="s">
        <v>22</v>
      </c>
      <c r="C19" s="37" t="s">
        <v>24</v>
      </c>
      <c r="D19" s="549">
        <v>206</v>
      </c>
      <c r="E19" s="550">
        <v>28454071</v>
      </c>
      <c r="F19" s="423"/>
      <c r="I19"/>
      <c r="J19"/>
      <c r="K19"/>
      <c r="N19" s="537"/>
      <c r="O19" s="537"/>
      <c r="P19" s="538"/>
      <c r="Q19" s="537"/>
      <c r="R19" s="539"/>
      <c r="S19" s="538"/>
      <c r="T19" s="540"/>
      <c r="U19" s="137"/>
    </row>
    <row r="20" spans="2:21" s="35" customFormat="1" ht="15">
      <c r="B20" s="41" t="s">
        <v>22</v>
      </c>
      <c r="C20" s="37" t="s">
        <v>25</v>
      </c>
      <c r="D20" s="549">
        <v>283</v>
      </c>
      <c r="E20" s="550">
        <v>19105121</v>
      </c>
      <c r="F20" s="423"/>
      <c r="I20"/>
      <c r="J20"/>
      <c r="K20"/>
      <c r="N20" s="537"/>
      <c r="O20" s="537"/>
      <c r="P20" s="538"/>
      <c r="Q20" s="537"/>
      <c r="R20" s="539"/>
      <c r="S20" s="538"/>
      <c r="T20" s="540"/>
      <c r="U20" s="137"/>
    </row>
    <row r="21" spans="2:21" s="35" customFormat="1" ht="15">
      <c r="B21" s="41" t="s">
        <v>22</v>
      </c>
      <c r="C21" s="37" t="s">
        <v>23</v>
      </c>
      <c r="D21" s="549">
        <v>397</v>
      </c>
      <c r="E21" s="550">
        <v>18345512</v>
      </c>
      <c r="F21" s="423"/>
      <c r="I21" s="414"/>
      <c r="J21"/>
      <c r="K21"/>
      <c r="N21" s="537"/>
      <c r="O21" s="537"/>
      <c r="P21" s="538"/>
      <c r="Q21" s="537"/>
      <c r="R21" s="539"/>
      <c r="S21" s="538"/>
      <c r="T21" s="540"/>
      <c r="U21" s="137"/>
    </row>
    <row r="22" spans="2:21" s="35" customFormat="1" ht="15">
      <c r="B22" s="41" t="s">
        <v>22</v>
      </c>
      <c r="C22" s="37" t="s">
        <v>26</v>
      </c>
      <c r="D22" s="549">
        <v>546</v>
      </c>
      <c r="E22" s="550">
        <v>20600752</v>
      </c>
      <c r="F22" s="423"/>
      <c r="I22" s="414"/>
      <c r="J22"/>
      <c r="K22"/>
      <c r="N22" s="537"/>
      <c r="O22" s="537"/>
      <c r="P22" s="538"/>
      <c r="Q22" s="537"/>
      <c r="R22" s="539"/>
      <c r="S22" s="538"/>
      <c r="T22" s="540"/>
      <c r="U22" s="137"/>
    </row>
    <row r="23" spans="2:21" s="35" customFormat="1" ht="15">
      <c r="B23" s="41" t="s">
        <v>22</v>
      </c>
      <c r="C23" s="37" t="s">
        <v>203</v>
      </c>
      <c r="D23" s="549">
        <v>186</v>
      </c>
      <c r="E23" s="550">
        <v>8808546</v>
      </c>
      <c r="F23" s="423"/>
      <c r="I23" s="414"/>
      <c r="J23"/>
      <c r="K23"/>
      <c r="N23" s="537"/>
      <c r="O23" s="537"/>
      <c r="P23" s="538"/>
      <c r="Q23" s="537"/>
      <c r="R23" s="539"/>
      <c r="S23" s="538"/>
      <c r="T23" s="540"/>
      <c r="U23" s="137"/>
    </row>
    <row r="24" spans="2:21" s="35" customFormat="1" ht="15">
      <c r="B24" s="41" t="s">
        <v>22</v>
      </c>
      <c r="C24" s="37" t="s">
        <v>161</v>
      </c>
      <c r="D24" s="549">
        <v>89</v>
      </c>
      <c r="E24" s="550">
        <v>3577489</v>
      </c>
      <c r="F24" s="423"/>
      <c r="I24"/>
      <c r="J24"/>
      <c r="K24"/>
      <c r="N24" s="537"/>
      <c r="O24" s="537"/>
      <c r="P24" s="538"/>
      <c r="Q24" s="537"/>
      <c r="R24" s="539"/>
      <c r="S24" s="538"/>
      <c r="T24" s="540"/>
      <c r="U24" s="137"/>
    </row>
    <row r="25" spans="2:21" s="35" customFormat="1" ht="15">
      <c r="B25" s="41" t="s">
        <v>22</v>
      </c>
      <c r="C25" s="37" t="s">
        <v>162</v>
      </c>
      <c r="D25" s="549">
        <v>160</v>
      </c>
      <c r="E25" s="550">
        <v>1653914</v>
      </c>
      <c r="F25" s="423"/>
      <c r="I25"/>
      <c r="J25"/>
      <c r="K25"/>
      <c r="N25" s="537"/>
      <c r="O25" s="537"/>
      <c r="P25" s="538"/>
      <c r="Q25" s="537"/>
      <c r="R25" s="539"/>
      <c r="S25" s="538"/>
      <c r="T25" s="540"/>
      <c r="U25" s="137"/>
    </row>
    <row r="26" spans="2:21" s="35" customFormat="1" ht="15">
      <c r="B26" s="41" t="s">
        <v>22</v>
      </c>
      <c r="C26" s="37" t="s">
        <v>27</v>
      </c>
      <c r="D26" s="549">
        <v>182</v>
      </c>
      <c r="E26" s="550">
        <v>4424247</v>
      </c>
      <c r="F26" s="423"/>
      <c r="I26"/>
      <c r="J26"/>
      <c r="K26"/>
      <c r="N26" s="537"/>
      <c r="O26" s="537"/>
      <c r="P26" s="538"/>
      <c r="Q26" s="537"/>
      <c r="R26" s="539"/>
      <c r="S26" s="538"/>
      <c r="T26" s="540"/>
      <c r="U26" s="137"/>
    </row>
    <row r="27" spans="2:21" s="35" customFormat="1" ht="15">
      <c r="B27" s="41" t="s">
        <v>22</v>
      </c>
      <c r="C27" s="37" t="s">
        <v>129</v>
      </c>
      <c r="D27" s="549">
        <v>173</v>
      </c>
      <c r="E27" s="550">
        <v>7889152</v>
      </c>
      <c r="F27" s="423"/>
      <c r="I27"/>
      <c r="J27"/>
      <c r="K27"/>
      <c r="N27" s="537"/>
      <c r="O27" s="537"/>
      <c r="P27" s="538"/>
      <c r="Q27" s="537"/>
      <c r="R27" s="539"/>
      <c r="S27" s="538"/>
      <c r="T27" s="540"/>
      <c r="U27" s="137"/>
    </row>
    <row r="28" spans="2:21" ht="15">
      <c r="B28" s="41" t="s">
        <v>22</v>
      </c>
      <c r="C28" s="37" t="s">
        <v>217</v>
      </c>
      <c r="D28" s="549">
        <v>78</v>
      </c>
      <c r="E28" s="550">
        <v>491197</v>
      </c>
      <c r="F28" s="423"/>
      <c r="I28"/>
      <c r="J28"/>
      <c r="K28"/>
      <c r="N28" s="537"/>
      <c r="O28" s="537"/>
      <c r="P28" s="538"/>
      <c r="Q28" s="537"/>
      <c r="R28" s="539"/>
      <c r="S28" s="538"/>
      <c r="T28" s="540"/>
      <c r="U28" s="137"/>
    </row>
    <row r="29" spans="2:21" ht="15">
      <c r="B29" s="41" t="s">
        <v>22</v>
      </c>
      <c r="C29" s="37" t="s">
        <v>28</v>
      </c>
      <c r="D29" s="549">
        <v>583</v>
      </c>
      <c r="E29" s="550">
        <v>33909736</v>
      </c>
      <c r="F29" s="423"/>
      <c r="I29"/>
      <c r="J29"/>
      <c r="K29"/>
      <c r="N29" s="537"/>
      <c r="O29" s="537"/>
      <c r="P29" s="538"/>
      <c r="Q29" s="537"/>
      <c r="R29" s="539"/>
      <c r="S29" s="538"/>
      <c r="T29" s="540"/>
      <c r="U29" s="137"/>
    </row>
    <row r="30" spans="2:21" ht="15">
      <c r="B30" s="41" t="s">
        <v>39</v>
      </c>
      <c r="C30" s="37" t="s">
        <v>202</v>
      </c>
      <c r="D30" s="549">
        <v>88</v>
      </c>
      <c r="E30" s="550">
        <v>2854957</v>
      </c>
      <c r="F30" s="423"/>
      <c r="I30"/>
      <c r="J30"/>
      <c r="K30"/>
      <c r="N30" s="537"/>
      <c r="O30" s="537"/>
      <c r="P30" s="538"/>
      <c r="Q30" s="537"/>
      <c r="R30" s="539"/>
      <c r="S30" s="538"/>
      <c r="T30" s="540"/>
      <c r="U30" s="137"/>
    </row>
    <row r="31" spans="2:21" ht="15">
      <c r="B31" s="41" t="s">
        <v>39</v>
      </c>
      <c r="C31" s="37" t="s">
        <v>21</v>
      </c>
      <c r="D31" s="549">
        <v>230</v>
      </c>
      <c r="E31" s="550">
        <v>4823938</v>
      </c>
      <c r="F31" s="423"/>
      <c r="I31"/>
      <c r="J31"/>
      <c r="K31"/>
      <c r="N31" s="537"/>
      <c r="O31" s="537"/>
      <c r="P31" s="538"/>
      <c r="Q31" s="537"/>
      <c r="R31" s="539"/>
      <c r="S31" s="538"/>
      <c r="T31" s="540"/>
      <c r="U31" s="137"/>
    </row>
    <row r="32" spans="2:21" s="35" customFormat="1" ht="15">
      <c r="B32" s="41" t="s">
        <v>38</v>
      </c>
      <c r="C32" s="37" t="s">
        <v>201</v>
      </c>
      <c r="D32" s="549">
        <v>98</v>
      </c>
      <c r="E32" s="550">
        <v>2430778</v>
      </c>
      <c r="F32" s="423"/>
      <c r="I32"/>
      <c r="J32"/>
      <c r="K32"/>
      <c r="N32" s="537"/>
      <c r="O32" s="537"/>
      <c r="P32" s="538"/>
      <c r="Q32" s="537"/>
      <c r="R32" s="539"/>
      <c r="S32" s="538"/>
      <c r="T32" s="540"/>
      <c r="U32" s="137"/>
    </row>
    <row r="33" spans="2:21" s="35" customFormat="1" ht="15">
      <c r="B33" s="41" t="s">
        <v>38</v>
      </c>
      <c r="C33" s="37" t="s">
        <v>20</v>
      </c>
      <c r="D33" s="549">
        <v>209</v>
      </c>
      <c r="E33" s="550">
        <v>23510151</v>
      </c>
      <c r="F33" s="423"/>
      <c r="I33"/>
      <c r="J33"/>
      <c r="K33"/>
      <c r="N33" s="537"/>
      <c r="O33" s="537"/>
      <c r="P33" s="538"/>
      <c r="Q33" s="537"/>
      <c r="R33" s="539"/>
      <c r="S33" s="538"/>
      <c r="T33" s="540"/>
      <c r="U33" s="137"/>
    </row>
    <row r="34" spans="2:21" ht="15">
      <c r="B34" s="41" t="s">
        <v>17</v>
      </c>
      <c r="C34" s="37" t="s">
        <v>18</v>
      </c>
      <c r="D34" s="549">
        <v>204</v>
      </c>
      <c r="E34" s="550">
        <v>56442516</v>
      </c>
      <c r="F34" s="423"/>
      <c r="I34"/>
      <c r="J34"/>
      <c r="K34"/>
      <c r="N34" s="537"/>
      <c r="O34" s="537"/>
      <c r="P34" s="538"/>
      <c r="Q34" s="537"/>
      <c r="R34" s="539"/>
      <c r="S34" s="538"/>
      <c r="T34" s="540"/>
      <c r="U34" s="137"/>
    </row>
    <row r="35" spans="2:21" ht="15">
      <c r="B35" s="41" t="s">
        <v>17</v>
      </c>
      <c r="C35" s="37" t="s">
        <v>19</v>
      </c>
      <c r="D35" s="551">
        <v>123</v>
      </c>
      <c r="E35" s="552">
        <v>83245165</v>
      </c>
      <c r="F35" s="423"/>
      <c r="I35"/>
      <c r="J35"/>
      <c r="K35"/>
      <c r="N35" s="537"/>
      <c r="O35" s="537"/>
      <c r="P35" s="538"/>
      <c r="Q35" s="537"/>
      <c r="R35" s="539"/>
      <c r="S35" s="538"/>
      <c r="T35" s="540"/>
      <c r="U35" s="137"/>
    </row>
    <row r="36" spans="2:21" ht="15.75" thickBot="1">
      <c r="B36" s="336" t="s">
        <v>41</v>
      </c>
      <c r="C36" s="13" t="s">
        <v>40</v>
      </c>
      <c r="D36" s="247">
        <f>SUM(D6:D35)</f>
        <v>6581</v>
      </c>
      <c r="E36" s="246">
        <f>SUM(E6:E35)</f>
        <v>642270197</v>
      </c>
      <c r="F36" s="423"/>
      <c r="I36"/>
      <c r="N36" s="537"/>
      <c r="O36" s="537"/>
      <c r="P36" s="538"/>
      <c r="Q36" s="537"/>
      <c r="R36" s="539"/>
      <c r="S36" s="538"/>
      <c r="T36" s="540"/>
      <c r="U36" s="137"/>
    </row>
    <row r="37" spans="2:21" ht="15.75" thickTop="1">
      <c r="I37"/>
      <c r="N37" s="537"/>
      <c r="O37" s="537"/>
      <c r="P37" s="538"/>
      <c r="Q37" s="537"/>
      <c r="R37" s="539"/>
      <c r="S37" s="538"/>
      <c r="T37" s="540"/>
      <c r="U37" s="137"/>
    </row>
    <row r="38" spans="2:21" ht="48" customHeight="1">
      <c r="B38" s="619" t="s">
        <v>144</v>
      </c>
      <c r="C38" s="619"/>
      <c r="D38" s="619"/>
      <c r="E38" s="619"/>
      <c r="I38"/>
      <c r="N38" s="537"/>
      <c r="O38" s="537"/>
      <c r="P38" s="538"/>
      <c r="Q38" s="537"/>
      <c r="R38" s="539"/>
      <c r="S38" s="538"/>
      <c r="T38" s="540"/>
      <c r="U38" s="137"/>
    </row>
    <row r="39" spans="2:21" ht="15">
      <c r="I39"/>
      <c r="N39" s="537"/>
      <c r="O39" s="537"/>
      <c r="P39" s="538"/>
      <c r="Q39" s="537"/>
      <c r="R39" s="539"/>
      <c r="S39" s="538"/>
      <c r="T39" s="540"/>
      <c r="U39" s="137"/>
    </row>
    <row r="40" spans="2:21" ht="15">
      <c r="I40"/>
      <c r="N40" s="537"/>
      <c r="O40" s="537"/>
      <c r="P40" s="538"/>
      <c r="Q40" s="537"/>
      <c r="R40" s="539"/>
      <c r="S40" s="538"/>
      <c r="T40" s="540"/>
      <c r="U40" s="137"/>
    </row>
    <row r="41" spans="2:21" ht="15">
      <c r="E41" s="415"/>
      <c r="I41"/>
      <c r="N41" s="537"/>
      <c r="O41" s="537"/>
      <c r="P41" s="538"/>
      <c r="Q41" s="537"/>
      <c r="R41" s="539"/>
      <c r="S41" s="538"/>
      <c r="T41" s="540"/>
      <c r="U41" s="137"/>
    </row>
    <row r="42" spans="2:21" ht="15">
      <c r="E42" s="415"/>
      <c r="I42"/>
      <c r="N42" s="537"/>
      <c r="O42" s="537"/>
      <c r="P42" s="538"/>
      <c r="Q42" s="537"/>
      <c r="R42" s="539"/>
      <c r="S42" s="538"/>
      <c r="T42" s="540"/>
      <c r="U42" s="137"/>
    </row>
    <row r="43" spans="2:21" ht="15">
      <c r="D43" s="35"/>
      <c r="E43" s="416"/>
      <c r="I43"/>
      <c r="N43" s="537"/>
      <c r="O43" s="537"/>
      <c r="P43" s="538"/>
      <c r="Q43" s="537"/>
      <c r="R43" s="539"/>
      <c r="S43" s="538"/>
      <c r="T43" s="540"/>
      <c r="U43" s="137"/>
    </row>
    <row r="44" spans="2:21" ht="15">
      <c r="D44" s="35"/>
      <c r="E44" s="416"/>
      <c r="I44"/>
      <c r="N44" s="537"/>
      <c r="O44" s="537"/>
      <c r="P44" s="538"/>
      <c r="Q44" s="537"/>
      <c r="R44" s="539"/>
      <c r="S44" s="538"/>
      <c r="T44" s="540"/>
      <c r="U44" s="137"/>
    </row>
    <row r="45" spans="2:21" ht="15">
      <c r="D45" s="35"/>
      <c r="I45"/>
      <c r="N45" s="537"/>
      <c r="O45" s="537"/>
      <c r="P45" s="538"/>
      <c r="Q45" s="537"/>
      <c r="R45" s="539"/>
      <c r="S45" s="538"/>
      <c r="T45" s="540"/>
      <c r="U45" s="137"/>
    </row>
    <row r="46" spans="2:21" ht="15">
      <c r="I46"/>
      <c r="N46" s="537"/>
      <c r="O46" s="537"/>
      <c r="P46" s="538"/>
      <c r="Q46" s="537"/>
      <c r="R46" s="539"/>
      <c r="S46" s="538"/>
      <c r="T46" s="540"/>
      <c r="U46" s="137"/>
    </row>
  </sheetData>
  <mergeCells count="2">
    <mergeCell ref="B38:E38"/>
    <mergeCell ref="B4:E4"/>
  </mergeCells>
  <pageMargins left="0.7" right="0.7" top="0.75" bottom="0.75" header="0.3" footer="0.3"/>
  <pageSetup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C37"/>
  <sheetViews>
    <sheetView showGridLines="0" zoomScaleNormal="100" zoomScaleSheetLayoutView="70" workbookViewId="0">
      <pane xSplit="2" ySplit="6" topLeftCell="C7" activePane="bottomRight" state="frozen"/>
      <selection pane="topRight" activeCell="C1" sqref="C1"/>
      <selection pane="bottomLeft" activeCell="A3" sqref="A3"/>
      <selection pane="bottomRight" activeCell="B2" sqref="B2"/>
    </sheetView>
  </sheetViews>
  <sheetFormatPr baseColWidth="10" defaultColWidth="9.140625" defaultRowHeight="15"/>
  <cols>
    <col min="1" max="1" width="2.28515625" style="435" customWidth="1"/>
    <col min="2" max="2" width="54" style="435" customWidth="1"/>
    <col min="3" max="3" width="17.140625" style="434" bestFit="1" customWidth="1"/>
    <col min="4" max="4" width="53" style="434" customWidth="1"/>
    <col min="5" max="5" width="3.7109375" style="434" customWidth="1"/>
    <col min="6" max="6" width="35.42578125" style="434" bestFit="1" customWidth="1"/>
    <col min="7" max="7" width="53.85546875" style="434" bestFit="1" customWidth="1"/>
    <col min="8" max="10" width="22.140625" style="434" customWidth="1"/>
    <col min="11" max="11" width="26.28515625" style="434" customWidth="1"/>
    <col min="12" max="12" width="17.140625" style="434" customWidth="1"/>
    <col min="13" max="13" width="13.42578125" style="434" customWidth="1"/>
    <col min="14" max="16384" width="9.140625" style="434"/>
  </cols>
  <sheetData>
    <row r="1" spans="2:3" ht="6.75" customHeight="1"/>
    <row r="2" spans="2:3">
      <c r="B2" s="435" t="s">
        <v>222</v>
      </c>
    </row>
    <row r="3" spans="2:3">
      <c r="B3" s="473"/>
    </row>
    <row r="4" spans="2:3">
      <c r="B4" s="473"/>
    </row>
    <row r="5" spans="2:3">
      <c r="C5" s="526"/>
    </row>
    <row r="6" spans="2:3">
      <c r="B6" s="436" t="s">
        <v>130</v>
      </c>
      <c r="C6" s="437" t="s">
        <v>177</v>
      </c>
    </row>
    <row r="7" spans="2:3">
      <c r="B7" t="s">
        <v>7</v>
      </c>
      <c r="C7" s="553">
        <v>0.85143897600219509</v>
      </c>
    </row>
    <row r="8" spans="2:3">
      <c r="B8" t="s">
        <v>8</v>
      </c>
      <c r="C8" s="553">
        <v>0.82438875588137628</v>
      </c>
    </row>
    <row r="9" spans="2:3">
      <c r="B9" t="s">
        <v>5</v>
      </c>
      <c r="C9" s="553">
        <v>0.85636517498742648</v>
      </c>
    </row>
    <row r="10" spans="2:3">
      <c r="B10" t="s">
        <v>9</v>
      </c>
      <c r="C10" s="553">
        <v>0.81559800350261658</v>
      </c>
    </row>
    <row r="11" spans="2:3">
      <c r="B11" t="s">
        <v>11</v>
      </c>
      <c r="C11" s="553">
        <v>0.56804325984359205</v>
      </c>
    </row>
    <row r="12" spans="2:3">
      <c r="B12" t="s">
        <v>10</v>
      </c>
      <c r="C12" s="553">
        <v>0.62351467895075041</v>
      </c>
    </row>
    <row r="13" spans="2:3">
      <c r="B13" t="s">
        <v>12</v>
      </c>
      <c r="C13" s="553">
        <v>0.77485620867703564</v>
      </c>
    </row>
    <row r="14" spans="2:3">
      <c r="B14" t="s">
        <v>128</v>
      </c>
      <c r="C14" s="553">
        <v>0.41252037898804161</v>
      </c>
    </row>
    <row r="15" spans="2:3">
      <c r="B15" t="s">
        <v>110</v>
      </c>
      <c r="C15" s="553">
        <v>0.23175714604661285</v>
      </c>
    </row>
    <row r="16" spans="2:3">
      <c r="B16" t="s">
        <v>13</v>
      </c>
      <c r="C16" s="553">
        <v>0.61875242628544647</v>
      </c>
    </row>
    <row r="17" spans="2:3">
      <c r="B17" t="s">
        <v>14</v>
      </c>
      <c r="C17" s="553">
        <v>0.77883809127207226</v>
      </c>
    </row>
    <row r="18" spans="2:3">
      <c r="B18" t="s">
        <v>15</v>
      </c>
      <c r="C18" s="553">
        <v>0.33434008934951615</v>
      </c>
    </row>
    <row r="19" spans="2:3">
      <c r="B19" t="s">
        <v>16</v>
      </c>
      <c r="C19" s="553">
        <v>0.54949694166141083</v>
      </c>
    </row>
    <row r="20" spans="2:3">
      <c r="B20" t="s">
        <v>24</v>
      </c>
      <c r="C20" s="553">
        <v>0.67814631947867254</v>
      </c>
    </row>
    <row r="21" spans="2:3">
      <c r="B21" t="s">
        <v>25</v>
      </c>
      <c r="C21" s="553">
        <v>0.68032017989542526</v>
      </c>
    </row>
    <row r="22" spans="2:3">
      <c r="B22" t="s">
        <v>23</v>
      </c>
      <c r="C22" s="553">
        <v>0.16155998919733094</v>
      </c>
    </row>
    <row r="23" spans="2:3">
      <c r="B23" t="s">
        <v>26</v>
      </c>
      <c r="C23" s="553">
        <v>0.34793215392240384</v>
      </c>
    </row>
    <row r="24" spans="2:3">
      <c r="B24" t="s">
        <v>203</v>
      </c>
      <c r="C24" s="553">
        <v>0.15758404433439488</v>
      </c>
    </row>
    <row r="25" spans="2:3">
      <c r="B25" t="s">
        <v>161</v>
      </c>
      <c r="C25" s="553">
        <v>0.11542875550660833</v>
      </c>
    </row>
    <row r="26" spans="2:3">
      <c r="B26" t="s">
        <v>162</v>
      </c>
      <c r="C26" s="553">
        <v>0.37510957809038342</v>
      </c>
    </row>
    <row r="27" spans="2:3">
      <c r="B27" t="s">
        <v>27</v>
      </c>
      <c r="C27" s="553">
        <v>0.24880331205164863</v>
      </c>
    </row>
    <row r="28" spans="2:3">
      <c r="B28" t="s">
        <v>129</v>
      </c>
      <c r="C28" s="553">
        <v>0.57259749381789593</v>
      </c>
    </row>
    <row r="29" spans="2:3">
      <c r="B29" t="s">
        <v>217</v>
      </c>
      <c r="C29" s="553">
        <v>0.54600000000000004</v>
      </c>
    </row>
    <row r="30" spans="2:3">
      <c r="B30" t="s">
        <v>28</v>
      </c>
      <c r="C30" s="553">
        <v>0.43670537618758049</v>
      </c>
    </row>
    <row r="31" spans="2:3">
      <c r="B31" t="s">
        <v>202</v>
      </c>
      <c r="C31" s="553">
        <v>0.48214212777839133</v>
      </c>
    </row>
    <row r="32" spans="2:3">
      <c r="B32" t="s">
        <v>21</v>
      </c>
      <c r="C32" s="553">
        <v>0.10032662648799993</v>
      </c>
    </row>
    <row r="33" spans="2:3">
      <c r="B33" t="s">
        <v>201</v>
      </c>
      <c r="C33" s="553">
        <v>0.17530000000000001</v>
      </c>
    </row>
    <row r="34" spans="2:3">
      <c r="B34" t="s">
        <v>20</v>
      </c>
      <c r="C34" s="553">
        <v>0.64858379376213593</v>
      </c>
    </row>
    <row r="35" spans="2:3">
      <c r="B35" t="s">
        <v>18</v>
      </c>
      <c r="C35" s="553">
        <v>0.78839343533603723</v>
      </c>
    </row>
    <row r="36" spans="2:3">
      <c r="B36" s="560" t="s">
        <v>19</v>
      </c>
      <c r="C36" s="561">
        <v>0.78839343533603723</v>
      </c>
    </row>
    <row r="37" spans="2:3">
      <c r="B37" s="430"/>
      <c r="C37" s="438"/>
    </row>
  </sheetData>
  <conditionalFormatting sqref="B1:B1048576">
    <cfRule type="cellIs" dxfId="49" priority="8" operator="equal">
      <formula>"  "</formula>
    </cfRule>
  </conditionalFormatting>
  <pageMargins left="0.7" right="0.7" top="0.75" bottom="0.75" header="0.3" footer="0.3"/>
  <pageSetup scale="52" fitToHeight="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B1:J56"/>
  <sheetViews>
    <sheetView showGridLines="0" zoomScale="90" zoomScaleNormal="90" zoomScaleSheetLayoutView="85" workbookViewId="0">
      <selection activeCell="C9" sqref="C9"/>
    </sheetView>
  </sheetViews>
  <sheetFormatPr baseColWidth="10" defaultColWidth="9.140625" defaultRowHeight="14.25"/>
  <cols>
    <col min="1" max="1" width="2.28515625" style="137" customWidth="1"/>
    <col min="2" max="2" width="53.7109375" style="137" customWidth="1"/>
    <col min="3" max="3" width="29.42578125" style="137" customWidth="1"/>
    <col min="4" max="4" width="24.140625" style="137" customWidth="1"/>
    <col min="5" max="5" width="20.85546875" style="137" customWidth="1"/>
    <col min="6" max="6" width="17.42578125" style="137" customWidth="1"/>
    <col min="7" max="7" width="24.140625" style="137" bestFit="1" customWidth="1"/>
    <col min="8" max="8" width="29" style="137" customWidth="1"/>
    <col min="9" max="9" width="19" style="137" bestFit="1" customWidth="1"/>
    <col min="10" max="10" width="18" style="137" bestFit="1" customWidth="1"/>
    <col min="11" max="16384" width="9.140625" style="137"/>
  </cols>
  <sheetData>
    <row r="1" spans="2:8" ht="6" customHeight="1"/>
    <row r="2" spans="2:8" s="37" customFormat="1" ht="15.75" thickBot="1">
      <c r="B2" s="4" t="s">
        <v>76</v>
      </c>
      <c r="C2" s="36"/>
      <c r="D2" s="36"/>
      <c r="E2" s="36"/>
      <c r="F2" s="36"/>
      <c r="G2" s="36"/>
      <c r="H2" s="36"/>
    </row>
    <row r="3" spans="2:8" ht="15" thickBot="1"/>
    <row r="4" spans="2:8" ht="15.75">
      <c r="B4" s="260" t="s">
        <v>193</v>
      </c>
      <c r="C4" s="349"/>
    </row>
    <row r="5" spans="2:8">
      <c r="B5" s="263" t="s">
        <v>67</v>
      </c>
      <c r="C5" s="350"/>
    </row>
    <row r="6" spans="2:8">
      <c r="B6" s="348" t="str">
        <f>"Coûts nets déclarés par les municipalités " &amp;AnnéeRéf</f>
        <v>Coûts nets déclarés par les municipalités 2018</v>
      </c>
      <c r="C6" s="404">
        <f>CoûtsNetsDéclarés</f>
        <v>174135251.39759976</v>
      </c>
    </row>
    <row r="7" spans="2:8">
      <c r="B7" s="258" t="s">
        <v>173</v>
      </c>
      <c r="C7" s="351">
        <f>PourcMatOrphelines</f>
        <v>-6.6000000000000003E-2</v>
      </c>
    </row>
    <row r="8" spans="2:8">
      <c r="B8" s="348" t="s">
        <v>174</v>
      </c>
      <c r="C8" s="404">
        <f>CoûtsNetsDéclarés * (1 + PourcMatOrphelines)</f>
        <v>162642324.80535817</v>
      </c>
    </row>
    <row r="9" spans="2:8">
      <c r="B9" s="258" t="s">
        <v>145</v>
      </c>
      <c r="C9" s="351">
        <f>PourcPE</f>
        <v>-0.104361257</v>
      </c>
    </row>
    <row r="10" spans="2:8">
      <c r="B10" s="348" t="s">
        <v>60</v>
      </c>
      <c r="C10" s="404">
        <f>ROUND(CoûtsNetsAprèsMatOrph * (1 + PourcPE),2)</f>
        <v>145668767.34999999</v>
      </c>
    </row>
    <row r="11" spans="2:8">
      <c r="B11" s="348" t="s">
        <v>178</v>
      </c>
      <c r="C11" s="404"/>
      <c r="D11" s="448"/>
    </row>
    <row r="12" spans="2:8">
      <c r="B12" s="258" t="s">
        <v>106</v>
      </c>
      <c r="C12" s="352">
        <f>FraisMun</f>
        <v>8.5500000000000007E-2</v>
      </c>
    </row>
    <row r="13" spans="2:8">
      <c r="B13" s="259" t="s">
        <v>121</v>
      </c>
      <c r="C13" s="405">
        <f>C12*(C10+C11)</f>
        <v>12454679.608425001</v>
      </c>
    </row>
    <row r="14" spans="2:8" ht="15">
      <c r="B14" s="353" t="s">
        <v>73</v>
      </c>
      <c r="C14" s="406">
        <f>C10+C13+C11</f>
        <v>158123446.95842499</v>
      </c>
    </row>
    <row r="15" spans="2:8">
      <c r="B15" s="258" t="s">
        <v>61</v>
      </c>
      <c r="C15" s="354">
        <f>PartIndustrie</f>
        <v>1</v>
      </c>
    </row>
    <row r="16" spans="2:8" ht="15.75" customHeight="1">
      <c r="B16" s="355" t="s">
        <v>74</v>
      </c>
      <c r="C16" s="407">
        <f>C15*C14</f>
        <v>158123446.95842499</v>
      </c>
    </row>
    <row r="17" spans="2:7">
      <c r="B17" s="258" t="s">
        <v>62</v>
      </c>
      <c r="C17" s="356">
        <f>PartEEQ</f>
        <v>0.91699999999999993</v>
      </c>
    </row>
    <row r="18" spans="2:7">
      <c r="B18" s="258" t="s">
        <v>179</v>
      </c>
      <c r="C18" s="446"/>
      <c r="D18" s="448"/>
    </row>
    <row r="19" spans="2:7" ht="15.75" thickBot="1">
      <c r="B19" s="357" t="s">
        <v>75</v>
      </c>
      <c r="C19" s="408">
        <f>C17*CoûtsAssumésIndustrie + C18</f>
        <v>144999200.8608757</v>
      </c>
    </row>
    <row r="20" spans="2:7" ht="15" thickBot="1">
      <c r="B20" s="35"/>
      <c r="C20" s="35"/>
    </row>
    <row r="21" spans="2:7" ht="15.75">
      <c r="B21" s="260" t="s">
        <v>156</v>
      </c>
      <c r="C21" s="349"/>
    </row>
    <row r="22" spans="2:7">
      <c r="B22" s="261" t="s">
        <v>122</v>
      </c>
      <c r="C22" s="358"/>
    </row>
    <row r="23" spans="2:7">
      <c r="B23" s="257" t="s">
        <v>123</v>
      </c>
      <c r="C23" s="409">
        <f>MIN(3000000, IndemnitéRQ * (CompensationMaxRM  + CoûtsAssumésEEQ))</f>
        <v>3000000</v>
      </c>
      <c r="D23" s="340" t="s">
        <v>152</v>
      </c>
      <c r="F23" s="377"/>
    </row>
    <row r="24" spans="2:7">
      <c r="B24" s="258" t="s">
        <v>124</v>
      </c>
      <c r="C24" s="356">
        <f>PartEEQ</f>
        <v>0.91699999999999993</v>
      </c>
    </row>
    <row r="25" spans="2:7" ht="15">
      <c r="B25" s="262" t="s">
        <v>125</v>
      </c>
      <c r="C25" s="407">
        <f>C23*C24</f>
        <v>2751000</v>
      </c>
    </row>
    <row r="26" spans="2:7">
      <c r="B26" s="263" t="s">
        <v>175</v>
      </c>
      <c r="C26" s="350"/>
    </row>
    <row r="27" spans="2:7">
      <c r="B27" s="264" t="s">
        <v>63</v>
      </c>
      <c r="C27" s="404">
        <f>FraisAdminÉEQ</f>
        <v>3000000</v>
      </c>
    </row>
    <row r="28" spans="2:7">
      <c r="B28" s="264" t="s">
        <v>108</v>
      </c>
      <c r="C28" s="404">
        <f>FraisRDÉEQ</f>
        <v>2500000</v>
      </c>
    </row>
    <row r="29" spans="2:7" ht="15">
      <c r="B29" s="262" t="s">
        <v>176</v>
      </c>
      <c r="C29" s="407">
        <f>SUM(C27:C28)</f>
        <v>5500000</v>
      </c>
      <c r="G29" s="543"/>
    </row>
    <row r="30" spans="2:7" ht="15.75" thickBot="1">
      <c r="B30" s="386" t="s">
        <v>45</v>
      </c>
      <c r="C30" s="408">
        <f>C25+C29</f>
        <v>8251000</v>
      </c>
      <c r="G30" s="544"/>
    </row>
    <row r="31" spans="2:7" ht="15" thickBot="1"/>
    <row r="32" spans="2:7" ht="15.75">
      <c r="B32" s="260" t="s">
        <v>65</v>
      </c>
      <c r="C32" s="349"/>
    </row>
    <row r="33" spans="2:4">
      <c r="B33" s="359" t="s">
        <v>94</v>
      </c>
      <c r="C33" s="360">
        <f>ProvCréances</f>
        <v>0.02</v>
      </c>
    </row>
    <row r="34" spans="2:4">
      <c r="B34" s="264" t="s">
        <v>42</v>
      </c>
      <c r="C34" s="404">
        <f>C33 * (FraisGestionImputés + CoûtsAssumésEEQ)</f>
        <v>3065004.0172175141</v>
      </c>
    </row>
    <row r="35" spans="2:4">
      <c r="B35" s="348" t="s">
        <v>157</v>
      </c>
      <c r="C35" s="404">
        <f>MAX(CoûtsAssumésEEQ * FondsRisquePourcCible -FondsRisqueActuel,0)</f>
        <v>0</v>
      </c>
    </row>
    <row r="36" spans="2:4">
      <c r="B36" s="381" t="s">
        <v>220</v>
      </c>
      <c r="C36" s="556">
        <v>485526</v>
      </c>
    </row>
    <row r="37" spans="2:4" ht="15.75" thickBot="1">
      <c r="B37" s="361" t="s">
        <v>78</v>
      </c>
      <c r="C37" s="410">
        <f>SUM(C34:C35)</f>
        <v>3065004.0172175141</v>
      </c>
    </row>
    <row r="38" spans="2:4" ht="15.75" thickBot="1">
      <c r="B38" s="378"/>
      <c r="C38" s="545"/>
    </row>
    <row r="39" spans="2:4" ht="15.75" thickBot="1">
      <c r="B39" s="554" t="s">
        <v>221</v>
      </c>
      <c r="C39" s="555">
        <f>SUM(Paramètres!E46:E75)</f>
        <v>1800000</v>
      </c>
    </row>
    <row r="40" spans="2:4" ht="15.75" thickBot="1">
      <c r="B40" s="378"/>
      <c r="C40" s="379"/>
    </row>
    <row r="41" spans="2:4" ht="15">
      <c r="B41" s="389" t="s">
        <v>153</v>
      </c>
      <c r="C41" s="390"/>
    </row>
    <row r="42" spans="2:4">
      <c r="B42" s="381" t="s">
        <v>154</v>
      </c>
      <c r="C42" s="528">
        <f>FondsRetraitConjoint</f>
        <v>0</v>
      </c>
    </row>
    <row r="43" spans="2:4">
      <c r="B43" s="348" t="s">
        <v>1</v>
      </c>
      <c r="C43" s="528">
        <f>FondsRetraitImprimé</f>
        <v>-2000000</v>
      </c>
      <c r="D43" s="387"/>
    </row>
    <row r="44" spans="2:4" ht="15" thickBot="1">
      <c r="B44" s="382" t="s">
        <v>4</v>
      </c>
      <c r="C44" s="529">
        <f>FondsRetraitCE</f>
        <v>-2000000</v>
      </c>
      <c r="D44" s="387"/>
    </row>
    <row r="45" spans="2:4" ht="15" thickBot="1">
      <c r="B45" s="37"/>
      <c r="C45" s="439"/>
      <c r="D45" s="387"/>
    </row>
    <row r="46" spans="2:4" ht="15.75" thickBot="1">
      <c r="B46" s="444" t="s">
        <v>180</v>
      </c>
      <c r="C46" s="445">
        <f>AnticipationTarifFixe</f>
        <v>-1603397.3099999998</v>
      </c>
      <c r="D46" s="379"/>
    </row>
    <row r="47" spans="2:4" ht="15">
      <c r="B47" s="378"/>
      <c r="C47" s="379"/>
      <c r="D47" s="379"/>
    </row>
    <row r="48" spans="2:4" ht="15.75" thickBot="1">
      <c r="B48" s="35"/>
      <c r="C48" s="35"/>
      <c r="D48" s="379"/>
    </row>
    <row r="49" spans="2:10" ht="15.75">
      <c r="B49" s="546" t="s">
        <v>126</v>
      </c>
      <c r="C49" s="541"/>
      <c r="D49" s="541"/>
      <c r="E49" s="541"/>
      <c r="F49" s="541"/>
      <c r="G49" s="541"/>
      <c r="H49" s="542"/>
    </row>
    <row r="50" spans="2:10" ht="57">
      <c r="B50" s="362" t="s">
        <v>43</v>
      </c>
      <c r="C50" s="252" t="s">
        <v>91</v>
      </c>
      <c r="D50" s="252" t="s">
        <v>158</v>
      </c>
      <c r="E50" s="252" t="s">
        <v>92</v>
      </c>
      <c r="F50" s="252" t="s">
        <v>159</v>
      </c>
      <c r="G50" s="252" t="s">
        <v>93</v>
      </c>
      <c r="H50" s="368" t="s">
        <v>214</v>
      </c>
      <c r="I50" s="391"/>
      <c r="J50" s="392"/>
    </row>
    <row r="51" spans="2:10">
      <c r="B51" s="257" t="s">
        <v>1</v>
      </c>
      <c r="C51" s="380">
        <f>PartCoutImprimés</f>
        <v>0.20899999999999999</v>
      </c>
      <c r="D51" s="380">
        <f>$C51 / ($C$51 + $C$52)</f>
        <v>0.22791712104689205</v>
      </c>
      <c r="E51" s="369">
        <f>PartImprimésRelative * CoûtsAssumésEEQ</f>
        <v>33047800.41431082</v>
      </c>
      <c r="F51" s="530">
        <f>C43 + $C$42 * D51</f>
        <v>-2000000</v>
      </c>
      <c r="G51" s="365">
        <f>E51 + F51 + (FraisProvisionEtRisque + $C$46) * $D51</f>
        <v>31380925.607122663</v>
      </c>
      <c r="H51" s="388">
        <f>$G51 + FraisGestionImputés * SUMIF(tblMatières[Catégorie],$B51,tblMatières[Nombre déclarations]) / SUM(tblMatières[Nombre déclarations])</f>
        <v>32663522.932757065</v>
      </c>
      <c r="I51" s="391"/>
      <c r="J51" s="392"/>
    </row>
    <row r="52" spans="2:10" ht="15" thickBot="1">
      <c r="B52" s="467" t="s">
        <v>4</v>
      </c>
      <c r="C52" s="468">
        <f>PartCoutContenants</f>
        <v>0.70799999999999996</v>
      </c>
      <c r="D52" s="468">
        <f>$C52 / ($C$51 + $C$52)</f>
        <v>0.77208287895310801</v>
      </c>
      <c r="E52" s="469">
        <f>PartCERelative*CoûtsAssumésEEQ</f>
        <v>111951400.44656488</v>
      </c>
      <c r="F52" s="531">
        <f>C44 + $C$42 * D52</f>
        <v>-2000000</v>
      </c>
      <c r="G52" s="470">
        <f>E52 + F52 + (FraisProvisionEtRisque + $C$46) * $D52</f>
        <v>111079881.96097055</v>
      </c>
      <c r="H52" s="471">
        <f>$G52 + FraisGestionImputés * SUMIF(tblMatières[Catégorie],$B52,tblMatières[Nombre déclarations]) / SUM(tblMatières[Nombre déclarations])</f>
        <v>118048284.63533615</v>
      </c>
    </row>
    <row r="53" spans="2:10" ht="16.5" thickTop="1" thickBot="1">
      <c r="B53" s="463" t="s">
        <v>44</v>
      </c>
      <c r="C53" s="464">
        <f t="shared" ref="C53:F53" si="0">SUM(C51:C52)</f>
        <v>0.91699999999999993</v>
      </c>
      <c r="D53" s="464">
        <f t="shared" si="0"/>
        <v>1</v>
      </c>
      <c r="E53" s="465">
        <f t="shared" si="0"/>
        <v>144999200.8608757</v>
      </c>
      <c r="F53" s="532">
        <f t="shared" si="0"/>
        <v>-4000000</v>
      </c>
      <c r="G53" s="465">
        <f>SUM(G51:G52)</f>
        <v>142460807.56809321</v>
      </c>
      <c r="H53" s="466">
        <f>SUM(H51:H52)</f>
        <v>150711807.56809321</v>
      </c>
    </row>
    <row r="54" spans="2:10">
      <c r="G54" s="393"/>
    </row>
    <row r="55" spans="2:10">
      <c r="H55" s="393"/>
    </row>
    <row r="56" spans="2:10">
      <c r="H56" s="370"/>
    </row>
  </sheetData>
  <pageMargins left="0.7" right="0.7" top="0.75" bottom="0.75" header="0.3" footer="0.3"/>
  <pageSetup scale="56" fitToHeight="0" orientation="landscape" r:id="rId1"/>
  <ignoredErrors>
    <ignoredError sqref="C17" 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39997558519241921"/>
    <pageSetUpPr fitToPage="1"/>
  </sheetPr>
  <dimension ref="B1:X89"/>
  <sheetViews>
    <sheetView showGridLines="0" zoomScale="90" zoomScaleNormal="90" zoomScaleSheetLayoutView="80" workbookViewId="0">
      <pane xSplit="4" ySplit="1" topLeftCell="L2" activePane="bottomRight" state="frozen"/>
      <selection pane="topRight" activeCell="E1" sqref="E1"/>
      <selection pane="bottomLeft" activeCell="A2" sqref="A2"/>
      <selection pane="bottomRight" activeCell="B2" sqref="B2"/>
    </sheetView>
  </sheetViews>
  <sheetFormatPr baseColWidth="10" defaultRowHeight="15"/>
  <cols>
    <col min="1" max="1" width="2.85546875" customWidth="1"/>
    <col min="2" max="2" width="17.140625" style="1" customWidth="1"/>
    <col min="3" max="3" width="13.42578125" bestFit="1" customWidth="1"/>
    <col min="4" max="4" width="54" customWidth="1"/>
    <col min="5" max="5" width="9.28515625" bestFit="1" customWidth="1"/>
    <col min="6" max="6" width="16" bestFit="1" customWidth="1"/>
    <col min="7" max="7" width="20.7109375" bestFit="1" customWidth="1"/>
    <col min="8" max="8" width="21.28515625" bestFit="1" customWidth="1"/>
    <col min="9" max="9" width="21.42578125" bestFit="1" customWidth="1"/>
    <col min="10" max="10" width="23.28515625" customWidth="1"/>
    <col min="11" max="11" width="15" bestFit="1" customWidth="1"/>
    <col min="12" max="12" width="18.7109375" bestFit="1" customWidth="1"/>
    <col min="13" max="13" width="12.85546875" bestFit="1" customWidth="1"/>
    <col min="14" max="14" width="16" bestFit="1" customWidth="1"/>
    <col min="15" max="15" width="17" bestFit="1" customWidth="1"/>
    <col min="16" max="16" width="16.7109375" bestFit="1" customWidth="1"/>
    <col min="17" max="17" width="17.28515625" customWidth="1"/>
    <col min="18" max="18" width="13.28515625" customWidth="1"/>
    <col min="19" max="19" width="14" customWidth="1"/>
    <col min="20" max="20" width="13.7109375" bestFit="1" customWidth="1"/>
    <col min="21" max="21" width="15" bestFit="1" customWidth="1"/>
    <col min="22" max="22" width="10.42578125" customWidth="1"/>
    <col min="23" max="23" width="13.28515625" bestFit="1" customWidth="1"/>
    <col min="24" max="24" width="18.42578125" bestFit="1" customWidth="1"/>
  </cols>
  <sheetData>
    <row r="1" spans="2:24" ht="9" customHeight="1"/>
    <row r="2" spans="2:24">
      <c r="B2" s="1" t="s">
        <v>151</v>
      </c>
    </row>
    <row r="3" spans="2:24" ht="7.5" customHeight="1">
      <c r="E3" s="337"/>
    </row>
    <row r="4" spans="2:24" ht="47.25" customHeight="1">
      <c r="B4" s="413" t="s">
        <v>43</v>
      </c>
      <c r="C4" s="413" t="s">
        <v>131</v>
      </c>
      <c r="D4" s="562" t="s">
        <v>130</v>
      </c>
      <c r="E4" s="562" t="s">
        <v>169</v>
      </c>
      <c r="F4" s="562" t="s">
        <v>132</v>
      </c>
      <c r="G4" s="562" t="s">
        <v>172</v>
      </c>
      <c r="H4" s="562" t="s">
        <v>133</v>
      </c>
      <c r="I4" s="562" t="s">
        <v>134</v>
      </c>
      <c r="J4" s="562" t="s">
        <v>135</v>
      </c>
      <c r="K4" s="562" t="s">
        <v>170</v>
      </c>
      <c r="L4" s="562" t="s">
        <v>136</v>
      </c>
      <c r="M4" s="562" t="s">
        <v>138</v>
      </c>
      <c r="N4" s="562" t="s">
        <v>139</v>
      </c>
      <c r="O4" s="562" t="s">
        <v>137</v>
      </c>
      <c r="P4" s="562" t="s">
        <v>140</v>
      </c>
      <c r="Q4" s="562" t="s">
        <v>171</v>
      </c>
      <c r="R4" s="563" t="s">
        <v>165</v>
      </c>
      <c r="S4" s="563" t="s">
        <v>166</v>
      </c>
      <c r="T4" s="563" t="s">
        <v>167</v>
      </c>
      <c r="U4" s="563" t="s">
        <v>164</v>
      </c>
      <c r="V4" s="563" t="s">
        <v>168</v>
      </c>
      <c r="W4" s="563" t="s">
        <v>186</v>
      </c>
      <c r="X4" s="562" t="s">
        <v>141</v>
      </c>
    </row>
    <row r="5" spans="2:24">
      <c r="B5" s="37" t="s">
        <v>1</v>
      </c>
      <c r="C5" s="37" t="s">
        <v>1</v>
      </c>
      <c r="D5" s="37" t="s">
        <v>7</v>
      </c>
      <c r="E5" s="37">
        <v>1</v>
      </c>
      <c r="F5" s="272">
        <f>INDEX(rgDéclaration_NbDécl,MATCH(tblMatières[[#This Row],[Matière]],rgDéclaration_Matières,0))</f>
        <v>111</v>
      </c>
      <c r="G5" s="271">
        <f>INT(INDEX(rgDéclaration_QtéFinale,MATCH(tblMatières[[#This Row],[Matière]],rgDéclaration_Matières,0)))</f>
        <v>92875492</v>
      </c>
      <c r="H5" s="271">
        <f>tblMatières[[#This Row],[Quantité attendue net (kg)]]/1000</f>
        <v>92875.491999999998</v>
      </c>
      <c r="I5" s="271">
        <f>tblMatières[[#This Row],[Quantité déclarée (tonnes)]]</f>
        <v>92875.491999999998</v>
      </c>
      <c r="J5" s="271">
        <f>tblMatières[[#This Row],[Quantité générée (tonnes)]]*tblMatières[[#This Row],[% récupération]]</f>
        <v>79077.813804180056</v>
      </c>
      <c r="K5" s="271">
        <f>tblMatières[[#This Row],[Quantité générée (tonnes)]]-tblMatières[[#This Row],[Quantité récupérée (tonnes)]]</f>
        <v>13797.678195819943</v>
      </c>
      <c r="L5" s="418">
        <f>INDEX(Caractérisation!$C$7:$C$36,MATCH(tblMatières[[#This Row],[Matière]],Caractérisation!$B$7:$B$36,0))</f>
        <v>0.85143897600219509</v>
      </c>
      <c r="M5" s="447">
        <f>INDEX(Paramètres!$C$46:$C$75,MATCH(tblMatières[[#This Row],[Matière]],Paramètres!$B$46:$B$75,0))</f>
        <v>215.65465096683312</v>
      </c>
      <c r="N5" s="447">
        <f>INDEX(Paramètres!$D$46:$D$75,MATCH(tblMatières[[#This Row],[Matière]],Paramètres!$B$46:$B$75,0))</f>
        <v>78.408217918424057</v>
      </c>
      <c r="O5" s="274">
        <f>tblMatières[[#This Row],[Coût brut]]-tblMatières[[#This Row],[Revenu brut]]</f>
        <v>137.24643304840907</v>
      </c>
      <c r="P5" s="325">
        <f>INDEX(Paramètres!$E$46:$E$75,MATCH(tblMatières[[#This Row],[Matière]],Paramètres!$B$46:$B$75,0))</f>
        <v>0</v>
      </c>
      <c r="Q5" s="364">
        <f>INDEX('Crédit contenu recyclé'!$F$6:$F$42,MATCH(tblMatières[[#This Row],[Matière]],'Crédit contenu recyclé'!$B$6:$B$42,0))</f>
        <v>0.05</v>
      </c>
      <c r="R5" s="421">
        <f>INDEX('Facteur 1'!$H$10:$H$46,MATCH(tblMatières[[#This Row],[Matière]],'Facteur 1'!$B$10:$B$46,0))</f>
        <v>6210416.2752477694</v>
      </c>
      <c r="S5" s="421">
        <f>INDEX('Facteur 2'!$J$10:$J$46,MATCH(tblMatières[[#This Row],[Matière]],'Facteur 2'!$B$10:$B$46,0))</f>
        <v>8732259.9303593449</v>
      </c>
      <c r="T5" s="421">
        <f>INDEX('Facteur 3'!$L$10:$L$46,MATCH(tblMatières[[#This Row],[Matière]],'Facteur 3'!$B$10:$B$46,0))</f>
        <v>3017903.5278341179</v>
      </c>
      <c r="U5" s="421">
        <f>INDEX('Frais de gestion &amp; RQ'!$G$10:$G$46,MATCH(tblMatières[[#This Row],[Matière]],'Frais de gestion &amp; RQ'!$B$10:$B$46,0))</f>
        <v>848827.04866475263</v>
      </c>
      <c r="V5" s="421">
        <f>INDEX('Crédit contenu recyclé'!$J$6:$J$42,MATCH(tblMatières[[#This Row],[Matière]],'Crédit contenu recyclé'!$B$6:$B$42,0))</f>
        <v>189994.00790006047</v>
      </c>
      <c r="W5" s="421">
        <f>INDEX(Paramètres!$F$46:$F$75,MATCH(tblMatières[[#This Row],[Matière]],Paramètres!$B$46:$B$75,0))</f>
        <v>0</v>
      </c>
      <c r="X5" s="325">
        <f>INDEX(rgTarif_TxFinal,MATCH(tblMatières[[#This Row],[Matière]],rgTarif_Matières,0))</f>
        <v>204.57</v>
      </c>
    </row>
    <row r="6" spans="2:24">
      <c r="B6" s="37" t="s">
        <v>1</v>
      </c>
      <c r="C6" s="37" t="s">
        <v>1</v>
      </c>
      <c r="D6" s="37" t="s">
        <v>8</v>
      </c>
      <c r="E6" s="37">
        <v>2</v>
      </c>
      <c r="F6" s="272">
        <f>INDEX(rgDéclaration_NbDécl,MATCH(tblMatières[[#This Row],[Matière]],rgDéclaration_Matières,0))</f>
        <v>165</v>
      </c>
      <c r="G6" s="271">
        <f>INT(INDEX(rgDéclaration_QtéFinale,MATCH(tblMatières[[#This Row],[Matière]],rgDéclaration_Matières,0)))</f>
        <v>11747308</v>
      </c>
      <c r="H6" s="271">
        <f>tblMatières[[#This Row],[Quantité attendue net (kg)]]/1000</f>
        <v>11747.308000000001</v>
      </c>
      <c r="I6" s="271">
        <f>tblMatières[[#This Row],[Quantité déclarée (tonnes)]]</f>
        <v>11747.308000000001</v>
      </c>
      <c r="J6" s="271">
        <f>tblMatières[[#This Row],[Quantité générée (tonnes)]]*tblMatières[[#This Row],[% récupération]]</f>
        <v>9684.3486270753401</v>
      </c>
      <c r="K6" s="271">
        <f>tblMatières[[#This Row],[Quantité générée (tonnes)]]-tblMatières[[#This Row],[Quantité récupérée (tonnes)]]</f>
        <v>2062.9593729246608</v>
      </c>
      <c r="L6" s="418">
        <f>INDEX(Caractérisation!$C$7:$C$36,MATCH(tblMatières[[#This Row],[Matière]],Caractérisation!$B$7:$B$36,0))</f>
        <v>0.82438875588137628</v>
      </c>
      <c r="M6" s="447">
        <f>INDEX(Paramètres!$C$46:$C$75,MATCH(tblMatières[[#This Row],[Matière]],Paramètres!$B$46:$B$75,0))</f>
        <v>212.38542417294821</v>
      </c>
      <c r="N6" s="447">
        <f>INDEX(Paramètres!$D$46:$D$75,MATCH(tblMatières[[#This Row],[Matière]],Paramètres!$B$46:$B$75,0))</f>
        <v>75.102662076530478</v>
      </c>
      <c r="O6" s="274">
        <f>tblMatières[[#This Row],[Coût brut]]-tblMatières[[#This Row],[Revenu brut]]</f>
        <v>137.28276209641774</v>
      </c>
      <c r="P6" s="325">
        <f>INDEX(Paramètres!$E$46:$E$75,MATCH(tblMatières[[#This Row],[Matière]],Paramètres!$B$46:$B$75,0))</f>
        <v>0</v>
      </c>
      <c r="Q6" s="364">
        <f>INDEX('Crédit contenu recyclé'!$F$6:$F$42,MATCH(tblMatières[[#This Row],[Matière]],'Crédit contenu recyclé'!$B$6:$B$42,0))</f>
        <v>0.05</v>
      </c>
      <c r="R6" s="421">
        <f>INDEX('Facteur 1'!$H$10:$H$46,MATCH(tblMatières[[#This Row],[Matière]],'Facteur 1'!$B$10:$B$46,0))</f>
        <v>928550.17220706295</v>
      </c>
      <c r="S6" s="421">
        <f>INDEX('Facteur 2'!$J$10:$J$46,MATCH(tblMatières[[#This Row],[Matière]],'Facteur 2'!$B$10:$B$46,0))</f>
        <v>1069688.5767797125</v>
      </c>
      <c r="T6" s="421">
        <f>INDEX('Facteur 3'!$L$10:$L$46,MATCH(tblMatières[[#This Row],[Matière]],'Facteur 3'!$B$10:$B$46,0))</f>
        <v>451341.17854638147</v>
      </c>
      <c r="U6" s="421">
        <f>INDEX('Frais de gestion &amp; RQ'!$G$10:$G$46,MATCH(tblMatières[[#This Row],[Matière]],'Frais de gestion &amp; RQ'!$B$10:$B$46,0))</f>
        <v>107363.44502375112</v>
      </c>
      <c r="V6" s="421">
        <f>INDEX('Crédit contenu recyclé'!$J$6:$J$42,MATCH(tblMatières[[#This Row],[Matière]],'Crédit contenu recyclé'!$B$6:$B$42,0))</f>
        <v>34637.000708765823</v>
      </c>
      <c r="W6" s="421">
        <f>INDEX(Paramètres!$F$46:$F$75,MATCH(tblMatières[[#This Row],[Matière]],Paramètres!$B$46:$B$75,0))</f>
        <v>0</v>
      </c>
      <c r="X6" s="325">
        <f>INDEX(rgTarif_TxFinal,MATCH(tblMatières[[#This Row],[Matière]],rgTarif_Matières,0))</f>
        <v>294.85000000000002</v>
      </c>
    </row>
    <row r="7" spans="2:24">
      <c r="B7" s="37" t="s">
        <v>1</v>
      </c>
      <c r="C7" s="37" t="s">
        <v>1</v>
      </c>
      <c r="D7" s="37" t="s">
        <v>5</v>
      </c>
      <c r="E7" s="37">
        <v>3</v>
      </c>
      <c r="F7" s="272">
        <f>INDEX(rgDéclaration_NbDécl,MATCH(tblMatières[[#This Row],[Matière]],rgDéclaration_Matières,0))</f>
        <v>60</v>
      </c>
      <c r="G7" s="271">
        <f>INT(INDEX(rgDéclaration_QtéFinale,MATCH(tblMatières[[#This Row],[Matière]],rgDéclaration_Matières,0)))</f>
        <v>6696562</v>
      </c>
      <c r="H7" s="271">
        <f>tblMatières[[#This Row],[Quantité attendue net (kg)]]/1000</f>
        <v>6696.5619999999999</v>
      </c>
      <c r="I7" s="271">
        <f>tblMatières[[#This Row],[Quantité déclarée (tonnes)]]</f>
        <v>6696.5619999999999</v>
      </c>
      <c r="J7" s="271">
        <f>tblMatières[[#This Row],[Quantité générée (tonnes)]]*tblMatières[[#This Row],[% récupération]]</f>
        <v>5734.7024889441509</v>
      </c>
      <c r="K7" s="271">
        <f>tblMatières[[#This Row],[Quantité générée (tonnes)]]-tblMatières[[#This Row],[Quantité récupérée (tonnes)]]</f>
        <v>961.859511055849</v>
      </c>
      <c r="L7" s="418">
        <f>INDEX(Caractérisation!$C$7:$C$36,MATCH(tblMatières[[#This Row],[Matière]],Caractérisation!$B$7:$B$36,0))</f>
        <v>0.85636517498742648</v>
      </c>
      <c r="M7" s="447">
        <f>INDEX(Paramètres!$C$46:$C$75,MATCH(tblMatières[[#This Row],[Matière]],Paramètres!$B$46:$B$75,0))</f>
        <v>211.2485633866317</v>
      </c>
      <c r="N7" s="447">
        <f>INDEX(Paramètres!$D$46:$D$75,MATCH(tblMatières[[#This Row],[Matière]],Paramètres!$B$46:$B$75,0))</f>
        <v>77.24356967989938</v>
      </c>
      <c r="O7" s="274">
        <f>tblMatières[[#This Row],[Coût brut]]-tblMatières[[#This Row],[Revenu brut]]</f>
        <v>134.00499370673231</v>
      </c>
      <c r="P7" s="325">
        <f>INDEX(Paramètres!$E$46:$E$75,MATCH(tblMatières[[#This Row],[Matière]],Paramètres!$B$46:$B$75,0))</f>
        <v>0</v>
      </c>
      <c r="Q7" s="364">
        <f>INDEX('Crédit contenu recyclé'!$F$6:$F$42,MATCH(tblMatières[[#This Row],[Matière]],'Crédit contenu recyclé'!$B$6:$B$42,0))</f>
        <v>0.05</v>
      </c>
      <c r="R7" s="421">
        <f>INDEX('Facteur 1'!$H$10:$H$46,MATCH(tblMatières[[#This Row],[Matière]],'Facteur 1'!$B$10:$B$46,0))</f>
        <v>432938.63483298325</v>
      </c>
      <c r="S7" s="421">
        <f>INDEX('Facteur 2'!$J$10:$J$46,MATCH(tblMatières[[#This Row],[Matière]],'Facteur 2'!$B$10:$B$46,0))</f>
        <v>618305.0718851944</v>
      </c>
      <c r="T7" s="421">
        <f>INDEX('Facteur 3'!$L$10:$L$46,MATCH(tblMatières[[#This Row],[Matière]],'Facteur 3'!$B$10:$B$46,0))</f>
        <v>205414.40754996947</v>
      </c>
      <c r="U7" s="421">
        <f>INDEX('Frais de gestion &amp; RQ'!$G$10:$G$46,MATCH(tblMatières[[#This Row],[Matière]],'Frais de gestion &amp; RQ'!$B$10:$B$46,0))</f>
        <v>61202.614772264489</v>
      </c>
      <c r="V7" s="421">
        <f>INDEX('Crédit contenu recyclé'!$J$6:$J$42,MATCH(tblMatières[[#This Row],[Matière]],'Crédit contenu recyclé'!$B$6:$B$42,0))</f>
        <v>19744.849010538775</v>
      </c>
      <c r="W7" s="421">
        <f>INDEX(Paramètres!$F$46:$F$75,MATCH(tblMatières[[#This Row],[Matière]],Paramètres!$B$46:$B$75,0))</f>
        <v>0</v>
      </c>
      <c r="X7" s="325">
        <f>INDEX(rgTarif_TxFinal,MATCH(tblMatières[[#This Row],[Matière]],rgTarif_Matières,0))</f>
        <v>294.85000000000002</v>
      </c>
    </row>
    <row r="8" spans="2:24">
      <c r="B8" s="37" t="s">
        <v>1</v>
      </c>
      <c r="C8" s="37" t="s">
        <v>1</v>
      </c>
      <c r="D8" s="37" t="s">
        <v>9</v>
      </c>
      <c r="E8" s="37">
        <v>4</v>
      </c>
      <c r="F8" s="272">
        <f>INDEX(rgDéclaration_NbDécl,MATCH(tblMatières[[#This Row],[Matière]],rgDéclaration_Matières,0))</f>
        <v>2</v>
      </c>
      <c r="G8" s="271">
        <f>INT(INDEX(rgDéclaration_QtéFinale,MATCH(tblMatières[[#This Row],[Matière]],rgDéclaration_Matières,0)))</f>
        <v>587060</v>
      </c>
      <c r="H8" s="271">
        <f>tblMatières[[#This Row],[Quantité attendue net (kg)]]/1000</f>
        <v>587.05999999999995</v>
      </c>
      <c r="I8" s="271">
        <f>tblMatières[[#This Row],[Quantité déclarée (tonnes)]]</f>
        <v>587.05999999999995</v>
      </c>
      <c r="J8" s="271">
        <f>tblMatières[[#This Row],[Quantité générée (tonnes)]]*tblMatières[[#This Row],[% récupération]]</f>
        <v>478.80496393624605</v>
      </c>
      <c r="K8" s="271">
        <f>tblMatières[[#This Row],[Quantité générée (tonnes)]]-tblMatières[[#This Row],[Quantité récupérée (tonnes)]]</f>
        <v>108.25503606375389</v>
      </c>
      <c r="L8" s="418">
        <f>INDEX(Caractérisation!$C$7:$C$36,MATCH(tblMatières[[#This Row],[Matière]],Caractérisation!$B$7:$B$36,0))</f>
        <v>0.81559800350261658</v>
      </c>
      <c r="M8" s="447">
        <f>INDEX(Paramètres!$C$46:$C$75,MATCH(tblMatières[[#This Row],[Matière]],Paramètres!$B$46:$B$75,0))</f>
        <v>211.76915496266679</v>
      </c>
      <c r="N8" s="447">
        <f>INDEX(Paramètres!$D$46:$D$75,MATCH(tblMatières[[#This Row],[Matière]],Paramètres!$B$46:$B$75,0))</f>
        <v>74.850648547240993</v>
      </c>
      <c r="O8" s="274">
        <f>tblMatières[[#This Row],[Coût brut]]-tblMatières[[#This Row],[Revenu brut]]</f>
        <v>136.91850641542578</v>
      </c>
      <c r="P8" s="325">
        <f>INDEX(Paramètres!$E$46:$E$75,MATCH(tblMatières[[#This Row],[Matière]],Paramètres!$B$46:$B$75,0))</f>
        <v>0</v>
      </c>
      <c r="Q8" s="364">
        <f>INDEX('Crédit contenu recyclé'!$F$6:$F$42,MATCH(tblMatières[[#This Row],[Matière]],'Crédit contenu recyclé'!$B$6:$B$42,0))</f>
        <v>0.05</v>
      </c>
      <c r="R8" s="421">
        <f>INDEX('Facteur 1'!$H$10:$H$46,MATCH(tblMatières[[#This Row],[Matière]],'Facteur 1'!$B$10:$B$46,0))</f>
        <v>48726.229754477812</v>
      </c>
      <c r="S8" s="421">
        <f>INDEX('Facteur 2'!$J$10:$J$46,MATCH(tblMatières[[#This Row],[Matière]],'Facteur 2'!$B$10:$B$46,0))</f>
        <v>52746.267320783991</v>
      </c>
      <c r="T8" s="421">
        <f>INDEX('Facteur 3'!$L$10:$L$46,MATCH(tblMatières[[#This Row],[Matière]],'Facteur 3'!$B$10:$B$46,0))</f>
        <v>23621.557891781147</v>
      </c>
      <c r="U8" s="421">
        <f>INDEX('Frais de gestion &amp; RQ'!$G$10:$G$46,MATCH(tblMatières[[#This Row],[Matière]],'Frais de gestion &amp; RQ'!$B$10:$B$46,0))</f>
        <v>5365.3810758723048</v>
      </c>
      <c r="V8" s="421">
        <f>INDEX('Crédit contenu recyclé'!$J$6:$J$42,MATCH(tblMatières[[#This Row],[Matière]],'Crédit contenu recyclé'!$B$6:$B$42,0))</f>
        <v>1730.949561898612</v>
      </c>
      <c r="W8" s="421">
        <f>INDEX(Paramètres!$F$46:$F$75,MATCH(tblMatières[[#This Row],[Matière]],Paramètres!$B$46:$B$75,0))</f>
        <v>0</v>
      </c>
      <c r="X8" s="325">
        <f>INDEX(rgTarif_TxFinal,MATCH(tblMatières[[#This Row],[Matière]],rgTarif_Matières,0))</f>
        <v>294.85000000000002</v>
      </c>
    </row>
    <row r="9" spans="2:24">
      <c r="B9" s="37" t="s">
        <v>1</v>
      </c>
      <c r="C9" s="37" t="s">
        <v>1</v>
      </c>
      <c r="D9" s="37" t="s">
        <v>11</v>
      </c>
      <c r="E9" s="37">
        <v>5</v>
      </c>
      <c r="F9" s="272">
        <f>INDEX(rgDéclaration_NbDécl,MATCH(tblMatières[[#This Row],[Matière]],rgDéclaration_Matières,0))</f>
        <v>94</v>
      </c>
      <c r="G9" s="271">
        <f>INT(INDEX(rgDéclaration_QtéFinale,MATCH(tblMatières[[#This Row],[Matière]],rgDéclaration_Matières,0)))</f>
        <v>4563414</v>
      </c>
      <c r="H9" s="271">
        <f>tblMatières[[#This Row],[Quantité attendue net (kg)]]/1000</f>
        <v>4563.4139999999998</v>
      </c>
      <c r="I9" s="271">
        <f>tblMatières[[#This Row],[Quantité déclarée (tonnes)]]</f>
        <v>4563.4139999999998</v>
      </c>
      <c r="J9" s="271">
        <f>tblMatières[[#This Row],[Quantité générée (tonnes)]]*tblMatières[[#This Row],[% récupération]]</f>
        <v>2592.2165645758855</v>
      </c>
      <c r="K9" s="271">
        <f>tblMatières[[#This Row],[Quantité générée (tonnes)]]-tblMatières[[#This Row],[Quantité récupérée (tonnes)]]</f>
        <v>1971.1974354241142</v>
      </c>
      <c r="L9" s="418">
        <f>INDEX(Caractérisation!$C$7:$C$36,MATCH(tblMatières[[#This Row],[Matière]],Caractérisation!$B$7:$B$36,0))</f>
        <v>0.56804325984359205</v>
      </c>
      <c r="M9" s="447">
        <f>INDEX(Paramètres!$C$46:$C$75,MATCH(tblMatières[[#This Row],[Matière]],Paramètres!$B$46:$B$75,0))</f>
        <v>214.94159247117807</v>
      </c>
      <c r="N9" s="447">
        <f>INDEX(Paramètres!$D$46:$D$75,MATCH(tblMatières[[#This Row],[Matière]],Paramètres!$B$46:$B$75,0))</f>
        <v>74.307488737976755</v>
      </c>
      <c r="O9" s="274">
        <f>tblMatières[[#This Row],[Coût brut]]-tblMatières[[#This Row],[Revenu brut]]</f>
        <v>140.6341037332013</v>
      </c>
      <c r="P9" s="325">
        <f>INDEX(Paramètres!$E$46:$E$75,MATCH(tblMatières[[#This Row],[Matière]],Paramètres!$B$46:$B$75,0))</f>
        <v>0</v>
      </c>
      <c r="Q9" s="364">
        <f>INDEX('Crédit contenu recyclé'!$F$6:$F$42,MATCH(tblMatières[[#This Row],[Matière]],'Crédit contenu recyclé'!$B$6:$B$42,0))</f>
        <v>0.05</v>
      </c>
      <c r="R9" s="421">
        <f>INDEX('Facteur 1'!$H$10:$H$46,MATCH(tblMatières[[#This Row],[Matière]],'Facteur 1'!$B$10:$B$46,0))</f>
        <v>887247.58332117985</v>
      </c>
      <c r="S9" s="421">
        <f>INDEX('Facteur 2'!$J$10:$J$46,MATCH(tblMatières[[#This Row],[Matière]],'Facteur 2'!$B$10:$B$46,0))</f>
        <v>293314.04928665143</v>
      </c>
      <c r="T9" s="421">
        <f>INDEX('Facteur 3'!$L$10:$L$46,MATCH(tblMatières[[#This Row],[Matière]],'Facteur 3'!$B$10:$B$46,0))</f>
        <v>441793.2234712991</v>
      </c>
      <c r="U9" s="421">
        <f>INDEX('Frais de gestion &amp; RQ'!$G$10:$G$46,MATCH(tblMatières[[#This Row],[Matière]],'Frais de gestion &amp; RQ'!$B$10:$B$46,0))</f>
        <v>41706.904093228521</v>
      </c>
      <c r="V9" s="421">
        <f>INDEX('Crédit contenu recyclé'!$J$6:$J$42,MATCH(tblMatières[[#This Row],[Matière]],'Crédit contenu recyclé'!$B$6:$B$42,0))</f>
        <v>13455.250679763558</v>
      </c>
      <c r="W9" s="421">
        <f>INDEX(Paramètres!$F$46:$F$75,MATCH(tblMatières[[#This Row],[Matière]],Paramètres!$B$46:$B$75,0))</f>
        <v>0</v>
      </c>
      <c r="X9" s="325">
        <f>INDEX(rgTarif_TxFinal,MATCH(tblMatières[[#This Row],[Matière]],rgTarif_Matières,0))</f>
        <v>294.85000000000002</v>
      </c>
    </row>
    <row r="10" spans="2:24">
      <c r="B10" s="37" t="s">
        <v>1</v>
      </c>
      <c r="C10" s="37" t="s">
        <v>1</v>
      </c>
      <c r="D10" s="37" t="s">
        <v>10</v>
      </c>
      <c r="E10" s="37">
        <v>6</v>
      </c>
      <c r="F10" s="272">
        <f>INDEX(rgDéclaration_NbDécl,MATCH(tblMatières[[#This Row],[Matière]],rgDéclaration_Matières,0))</f>
        <v>591</v>
      </c>
      <c r="G10" s="271">
        <f>INT(INDEX(rgDéclaration_QtéFinale,MATCH(tblMatières[[#This Row],[Matière]],rgDéclaration_Matières,0)))</f>
        <v>23867183</v>
      </c>
      <c r="H10" s="271">
        <f>tblMatières[[#This Row],[Quantité attendue net (kg)]]/1000</f>
        <v>23867.183000000001</v>
      </c>
      <c r="I10" s="271">
        <f>tblMatières[[#This Row],[Quantité déclarée (tonnes)]]</f>
        <v>23867.183000000001</v>
      </c>
      <c r="J10" s="271">
        <f>tblMatières[[#This Row],[Quantité générée (tonnes)]]*tblMatières[[#This Row],[% récupération]]</f>
        <v>14881.538945703809</v>
      </c>
      <c r="K10" s="271">
        <f>tblMatières[[#This Row],[Quantité générée (tonnes)]]-tblMatières[[#This Row],[Quantité récupérée (tonnes)]]</f>
        <v>8985.6440542961918</v>
      </c>
      <c r="L10" s="418">
        <f>INDEX(Caractérisation!$C$7:$C$36,MATCH(tblMatières[[#This Row],[Matière]],Caractérisation!$B$7:$B$36,0))</f>
        <v>0.62351467895075041</v>
      </c>
      <c r="M10" s="447">
        <f>INDEX(Paramètres!$C$46:$C$75,MATCH(tblMatières[[#This Row],[Matière]],Paramètres!$B$46:$B$75,0))</f>
        <v>217.7418299392032</v>
      </c>
      <c r="N10" s="447">
        <f>INDEX(Paramètres!$D$46:$D$75,MATCH(tblMatières[[#This Row],[Matière]],Paramètres!$B$46:$B$75,0))</f>
        <v>68.573586191713474</v>
      </c>
      <c r="O10" s="274">
        <f>tblMatières[[#This Row],[Coût brut]]-tblMatières[[#This Row],[Revenu brut]]</f>
        <v>149.16824374748973</v>
      </c>
      <c r="P10" s="325">
        <f>INDEX(Paramètres!$E$46:$E$75,MATCH(tblMatières[[#This Row],[Matière]],Paramètres!$B$46:$B$75,0))</f>
        <v>0</v>
      </c>
      <c r="Q10" s="364">
        <f>INDEX('Crédit contenu recyclé'!$F$6:$F$42,MATCH(tblMatières[[#This Row],[Matière]],'Crédit contenu recyclé'!$B$6:$B$42,0))</f>
        <v>0.05</v>
      </c>
      <c r="R10" s="421">
        <f>INDEX('Facteur 1'!$H$10:$H$46,MATCH(tblMatières[[#This Row],[Matière]],'Facteur 1'!$B$10:$B$46,0))</f>
        <v>4044491.3474855954</v>
      </c>
      <c r="S10" s="421">
        <f>INDEX('Facteur 2'!$J$10:$J$46,MATCH(tblMatières[[#This Row],[Matière]],'Facteur 2'!$B$10:$B$46,0))</f>
        <v>1786056.3472173782</v>
      </c>
      <c r="T10" s="421">
        <f>INDEX('Facteur 3'!$L$10:$L$46,MATCH(tblMatières[[#This Row],[Matière]],'Facteur 3'!$B$10:$B$46,0))</f>
        <v>2136111.2261309847</v>
      </c>
      <c r="U10" s="421">
        <f>INDEX('Frais de gestion &amp; RQ'!$G$10:$G$46,MATCH(tblMatières[[#This Row],[Matière]],'Frais de gestion &amp; RQ'!$B$10:$B$46,0))</f>
        <v>218131.93200453307</v>
      </c>
      <c r="V10" s="421">
        <f>INDEX('Crédit contenu recyclé'!$J$6:$J$42,MATCH(tblMatières[[#This Row],[Matière]],'Crédit contenu recyclé'!$B$6:$B$42,0))</f>
        <v>70372.517217327026</v>
      </c>
      <c r="W10" s="421">
        <f>INDEX(Paramètres!$F$46:$F$75,MATCH(tblMatières[[#This Row],[Matière]],Paramètres!$B$46:$B$75,0))</f>
        <v>0</v>
      </c>
      <c r="X10" s="325">
        <f>INDEX(rgTarif_TxFinal,MATCH(tblMatières[[#This Row],[Matière]],rgTarif_Matières,0))</f>
        <v>294.85000000000002</v>
      </c>
    </row>
    <row r="11" spans="2:24">
      <c r="B11" s="37" t="s">
        <v>4</v>
      </c>
      <c r="C11" s="37" t="s">
        <v>37</v>
      </c>
      <c r="D11" s="37" t="s">
        <v>12</v>
      </c>
      <c r="E11" s="37">
        <v>10</v>
      </c>
      <c r="F11" s="272">
        <f>INDEX(rgDéclaration_NbDécl,MATCH(tblMatières[[#This Row],[Matière]],rgDéclaration_Matières,0))</f>
        <v>506</v>
      </c>
      <c r="G11" s="271">
        <f>INT(INDEX(rgDéclaration_QtéFinale,MATCH(tblMatières[[#This Row],[Matière]],rgDéclaration_Matières,0)))</f>
        <v>57058644</v>
      </c>
      <c r="H11" s="271">
        <f>tblMatières[[#This Row],[Quantité attendue net (kg)]]/1000</f>
        <v>57058.644</v>
      </c>
      <c r="I11" s="271">
        <f>tblMatières[[#This Row],[Quantité déclarée (tonnes)]]</f>
        <v>57058.644</v>
      </c>
      <c r="J11" s="271">
        <f>tblMatières[[#This Row],[Quantité générée (tonnes)]]*tblMatières[[#This Row],[% récupération]]</f>
        <v>44212.244562092688</v>
      </c>
      <c r="K11" s="271">
        <f>tblMatières[[#This Row],[Quantité générée (tonnes)]]-tblMatières[[#This Row],[Quantité récupérée (tonnes)]]</f>
        <v>12846.399437907312</v>
      </c>
      <c r="L11" s="418">
        <f>INDEX(Caractérisation!$C$7:$C$36,MATCH(tblMatières[[#This Row],[Matière]],Caractérisation!$B$7:$B$36,0))</f>
        <v>0.77485620867703564</v>
      </c>
      <c r="M11" s="447">
        <f>INDEX(Paramètres!$C$46:$C$75,MATCH(tblMatières[[#This Row],[Matière]],Paramètres!$B$46:$B$75,0))</f>
        <v>283.2798412248128</v>
      </c>
      <c r="N11" s="447">
        <f>INDEX(Paramètres!$D$46:$D$75,MATCH(tblMatières[[#This Row],[Matière]],Paramètres!$B$46:$B$75,0))</f>
        <v>93.68998632080762</v>
      </c>
      <c r="O11" s="274">
        <f>tblMatières[[#This Row],[Coût brut]]-tblMatières[[#This Row],[Revenu brut]]</f>
        <v>189.58985490400516</v>
      </c>
      <c r="P11" s="325">
        <f>INDEX(Paramètres!$E$46:$E$75,MATCH(tblMatières[[#This Row],[Matière]],Paramètres!$B$46:$B$75,0))</f>
        <v>126787.31715646117</v>
      </c>
      <c r="Q11" s="364">
        <f>INDEX('Crédit contenu recyclé'!$F$6:$F$42,MATCH(tblMatières[[#This Row],[Matière]],'Crédit contenu recyclé'!$B$6:$B$42,0))</f>
        <v>0</v>
      </c>
      <c r="R11" s="421">
        <f>INDEX('Facteur 1'!$H$10:$H$46,MATCH(tblMatières[[#This Row],[Matière]],'Facteur 1'!$B$10:$B$46,0))</f>
        <v>2980865.1305311783</v>
      </c>
      <c r="S11" s="421">
        <f>INDEX('Facteur 2'!$J$10:$J$46,MATCH(tblMatières[[#This Row],[Matière]],'Facteur 2'!$B$10:$B$46,0))</f>
        <v>5497627.8557915157</v>
      </c>
      <c r="T11" s="421">
        <f>INDEX('Facteur 3'!$L$10:$L$46,MATCH(tblMatières[[#This Row],[Matière]],'Facteur 3'!$B$10:$B$46,0))</f>
        <v>855499.08383015543</v>
      </c>
      <c r="U11" s="421">
        <f>INDEX('Frais de gestion &amp; RQ'!$G$10:$G$46,MATCH(tblMatières[[#This Row],[Matière]],'Frais de gestion &amp; RQ'!$B$10:$B$46,0))</f>
        <v>806406.60942470981</v>
      </c>
      <c r="V11" s="421">
        <f>INDEX('Crédit contenu recyclé'!$J$6:$J$42,MATCH(tblMatières[[#This Row],[Matière]],'Crédit contenu recyclé'!$B$6:$B$42,0))</f>
        <v>0</v>
      </c>
      <c r="W11" s="421">
        <f>INDEX(Paramètres!$F$46:$F$75,MATCH(tblMatières[[#This Row],[Matière]],Paramètres!$B$46:$B$75,0))</f>
        <v>0</v>
      </c>
      <c r="X11" s="325">
        <f>INDEX(rgTarif_TxFinal,MATCH(tblMatières[[#This Row],[Matière]],rgTarif_Matières,0))</f>
        <v>183.93</v>
      </c>
    </row>
    <row r="12" spans="2:24">
      <c r="B12" s="37" t="s">
        <v>4</v>
      </c>
      <c r="C12" s="37" t="s">
        <v>37</v>
      </c>
      <c r="D12" s="37" t="s">
        <v>128</v>
      </c>
      <c r="E12" s="37">
        <v>11</v>
      </c>
      <c r="F12" s="272">
        <f>INDEX(rgDéclaration_NbDécl,MATCH(tblMatières[[#This Row],[Matière]],rgDéclaration_Matières,0))</f>
        <v>83</v>
      </c>
      <c r="G12" s="271">
        <f>INT(INDEX(rgDéclaration_QtéFinale,MATCH(tblMatières[[#This Row],[Matière]],rgDéclaration_Matières,0)))</f>
        <v>3143279</v>
      </c>
      <c r="H12" s="271">
        <f>tblMatières[[#This Row],[Quantité attendue net (kg)]]/1000</f>
        <v>3143.279</v>
      </c>
      <c r="I12" s="271">
        <f>tblMatières[[#This Row],[Quantité déclarée (tonnes)]]</f>
        <v>3143.279</v>
      </c>
      <c r="J12" s="271">
        <f>tblMatières[[#This Row],[Quantité générée (tonnes)]]*tblMatières[[#This Row],[% récupération]]</f>
        <v>1296.6666443451525</v>
      </c>
      <c r="K12" s="271">
        <f>tblMatières[[#This Row],[Quantité générée (tonnes)]]-tblMatières[[#This Row],[Quantité récupérée (tonnes)]]</f>
        <v>1846.6123556548475</v>
      </c>
      <c r="L12" s="418">
        <f>INDEX(Caractérisation!$C$7:$C$36,MATCH(tblMatières[[#This Row],[Matière]],Caractérisation!$B$7:$B$36,0))</f>
        <v>0.41252037898804161</v>
      </c>
      <c r="M12" s="447">
        <f>INDEX(Paramètres!$C$46:$C$75,MATCH(tblMatières[[#This Row],[Matière]],Paramètres!$B$46:$B$75,0))</f>
        <v>283.2798412248128</v>
      </c>
      <c r="N12" s="447">
        <f>INDEX(Paramètres!$D$46:$D$75,MATCH(tblMatières[[#This Row],[Matière]],Paramètres!$B$46:$B$75,0))</f>
        <v>93.68998632080762</v>
      </c>
      <c r="O12" s="274">
        <f>tblMatières[[#This Row],[Coût brut]]-tblMatières[[#This Row],[Revenu brut]]</f>
        <v>189.58985490400516</v>
      </c>
      <c r="P12" s="325">
        <f>INDEX(Paramètres!$E$46:$E$75,MATCH(tblMatières[[#This Row],[Matière]],Paramètres!$B$46:$B$75,0))</f>
        <v>6984.5317649722629</v>
      </c>
      <c r="Q12" s="364">
        <f>INDEX('Crédit contenu recyclé'!$F$6:$F$42,MATCH(tblMatières[[#This Row],[Matière]],'Crédit contenu recyclé'!$B$6:$B$42,0))</f>
        <v>0</v>
      </c>
      <c r="R12" s="421">
        <f>INDEX('Facteur 1'!$H$10:$H$46,MATCH(tblMatières[[#This Row],[Matière]],'Facteur 1'!$B$10:$B$46,0))</f>
        <v>428486.00552905287</v>
      </c>
      <c r="S12" s="421">
        <f>INDEX('Facteur 2'!$J$10:$J$46,MATCH(tblMatières[[#This Row],[Matière]],'Facteur 2'!$B$10:$B$46,0))</f>
        <v>161235.66523785202</v>
      </c>
      <c r="T12" s="421">
        <f>INDEX('Facteur 3'!$L$10:$L$46,MATCH(tblMatières[[#This Row],[Matière]],'Facteur 3'!$B$10:$B$46,0))</f>
        <v>122974.15988720913</v>
      </c>
      <c r="U12" s="421">
        <f>INDEX('Frais de gestion &amp; RQ'!$G$10:$G$46,MATCH(tblMatières[[#This Row],[Matière]],'Frais de gestion &amp; RQ'!$B$10:$B$46,0))</f>
        <v>44423.785480529332</v>
      </c>
      <c r="V12" s="421">
        <f>INDEX('Crédit contenu recyclé'!$J$6:$J$42,MATCH(tblMatières[[#This Row],[Matière]],'Crédit contenu recyclé'!$B$6:$B$42,0))</f>
        <v>0</v>
      </c>
      <c r="W12" s="421">
        <f>INDEX(Paramètres!$F$46:$F$75,MATCH(tblMatières[[#This Row],[Matière]],Paramètres!$B$46:$B$75,0))</f>
        <v>0</v>
      </c>
      <c r="X12" s="325">
        <f>INDEX(rgTarif_TxFinal,MATCH(tblMatières[[#This Row],[Matière]],rgTarif_Matières,0))</f>
        <v>183.93</v>
      </c>
    </row>
    <row r="13" spans="2:24">
      <c r="B13" s="37" t="s">
        <v>4</v>
      </c>
      <c r="C13" s="37" t="s">
        <v>37</v>
      </c>
      <c r="D13" s="37" t="s">
        <v>110</v>
      </c>
      <c r="E13" s="37">
        <v>12</v>
      </c>
      <c r="F13" s="272">
        <f>INDEX(rgDéclaration_NbDécl,MATCH(tblMatières[[#This Row],[Matière]],rgDéclaration_Matières,0))</f>
        <v>50</v>
      </c>
      <c r="G13" s="271">
        <f>INT(INDEX(rgDéclaration_QtéFinale,MATCH(tblMatières[[#This Row],[Matière]],rgDéclaration_Matières,0)))</f>
        <v>1981269</v>
      </c>
      <c r="H13" s="271">
        <f>tblMatières[[#This Row],[Quantité attendue net (kg)]]/1000</f>
        <v>1981.269</v>
      </c>
      <c r="I13" s="271">
        <f>tblMatières[[#This Row],[Quantité déclarée (tonnes)]]</f>
        <v>1981.269</v>
      </c>
      <c r="J13" s="271">
        <f>tblMatières[[#This Row],[Quantité générée (tonnes)]]*tblMatières[[#This Row],[% récupération]]</f>
        <v>459.17324899062658</v>
      </c>
      <c r="K13" s="271">
        <f>tblMatières[[#This Row],[Quantité générée (tonnes)]]-tblMatières[[#This Row],[Quantité récupérée (tonnes)]]</f>
        <v>1522.0957510093735</v>
      </c>
      <c r="L13" s="418">
        <f>INDEX(Caractérisation!$C$7:$C$36,MATCH(tblMatières[[#This Row],[Matière]],Caractérisation!$B$7:$B$36,0))</f>
        <v>0.23175714604661285</v>
      </c>
      <c r="M13" s="447">
        <f>INDEX(Paramètres!$C$46:$C$75,MATCH(tblMatières[[#This Row],[Matière]],Paramètres!$B$46:$B$75,0))</f>
        <v>283.2798412248128</v>
      </c>
      <c r="N13" s="447">
        <f>INDEX(Paramètres!$D$46:$D$75,MATCH(tblMatières[[#This Row],[Matière]],Paramètres!$B$46:$B$75,0))</f>
        <v>93.68998632080762</v>
      </c>
      <c r="O13" s="274">
        <f>tblMatières[[#This Row],[Coût brut]]-tblMatières[[#This Row],[Revenu brut]]</f>
        <v>189.58985490400516</v>
      </c>
      <c r="P13" s="325">
        <f>INDEX(Paramètres!$E$46:$E$75,MATCH(tblMatières[[#This Row],[Matière]],Paramètres!$B$46:$B$75,0))</f>
        <v>4402.4842419189736</v>
      </c>
      <c r="Q13" s="364">
        <f>INDEX('Crédit contenu recyclé'!$F$6:$F$42,MATCH(tblMatières[[#This Row],[Matière]],'Crédit contenu recyclé'!$B$6:$B$42,0))</f>
        <v>0</v>
      </c>
      <c r="R13" s="421">
        <f>INDEX('Facteur 1'!$H$10:$H$46,MATCH(tblMatières[[#This Row],[Matière]],'Facteur 1'!$B$10:$B$46,0))</f>
        <v>353185.51096311043</v>
      </c>
      <c r="S13" s="421">
        <f>INDEX('Facteur 2'!$J$10:$J$46,MATCH(tblMatières[[#This Row],[Matière]],'Facteur 2'!$B$10:$B$46,0))</f>
        <v>57096.482417667983</v>
      </c>
      <c r="T13" s="421">
        <f>INDEX('Facteur 3'!$L$10:$L$46,MATCH(tblMatières[[#This Row],[Matière]],'Facteur 3'!$B$10:$B$46,0))</f>
        <v>101363.1505687023</v>
      </c>
      <c r="U13" s="421">
        <f>INDEX('Frais de gestion &amp; RQ'!$G$10:$G$46,MATCH(tblMatières[[#This Row],[Matière]],'Frais de gestion &amp; RQ'!$B$10:$B$46,0))</f>
        <v>28001.163445950191</v>
      </c>
      <c r="V13" s="421">
        <f>INDEX('Crédit contenu recyclé'!$J$6:$J$42,MATCH(tblMatières[[#This Row],[Matière]],'Crédit contenu recyclé'!$B$6:$B$42,0))</f>
        <v>0</v>
      </c>
      <c r="W13" s="421">
        <f>INDEX(Paramètres!$F$46:$F$75,MATCH(tblMatières[[#This Row],[Matière]],Paramètres!$B$46:$B$75,0))</f>
        <v>0</v>
      </c>
      <c r="X13" s="325">
        <f>INDEX(rgTarif_TxFinal,MATCH(tblMatières[[#This Row],[Matière]],rgTarif_Matières,0))</f>
        <v>183.93</v>
      </c>
    </row>
    <row r="14" spans="2:24">
      <c r="B14" s="37" t="s">
        <v>4</v>
      </c>
      <c r="C14" s="37" t="s">
        <v>37</v>
      </c>
      <c r="D14" s="37" t="s">
        <v>13</v>
      </c>
      <c r="E14" s="37">
        <v>13</v>
      </c>
      <c r="F14" s="272">
        <f>INDEX(rgDéclaration_NbDécl,MATCH(tblMatières[[#This Row],[Matière]],rgDéclaration_Matières,0))</f>
        <v>673</v>
      </c>
      <c r="G14" s="271">
        <f>INT(INDEX(rgDéclaration_QtéFinale,MATCH(tblMatières[[#This Row],[Matière]],rgDéclaration_Matières,0)))</f>
        <v>89357738</v>
      </c>
      <c r="H14" s="271">
        <f>tblMatières[[#This Row],[Quantité attendue net (kg)]]/1000</f>
        <v>89357.737999999998</v>
      </c>
      <c r="I14" s="271">
        <f>tblMatières[[#This Row],[Quantité déclarée (tonnes)]]</f>
        <v>89357.737999999998</v>
      </c>
      <c r="J14" s="271">
        <f>tblMatières[[#This Row],[Quantité générée (tonnes)]]*tblMatières[[#This Row],[% récupération]]</f>
        <v>55290.317194879237</v>
      </c>
      <c r="K14" s="271">
        <f>tblMatières[[#This Row],[Quantité générée (tonnes)]]-tblMatières[[#This Row],[Quantité récupérée (tonnes)]]</f>
        <v>34067.420805120761</v>
      </c>
      <c r="L14" s="418">
        <f>INDEX(Caractérisation!$C$7:$C$36,MATCH(tblMatières[[#This Row],[Matière]],Caractérisation!$B$7:$B$36,0))</f>
        <v>0.61875242628544647</v>
      </c>
      <c r="M14" s="447">
        <f>INDEX(Paramètres!$C$46:$C$75,MATCH(tblMatières[[#This Row],[Matière]],Paramètres!$B$46:$B$75,0))</f>
        <v>259.66250181102873</v>
      </c>
      <c r="N14" s="447">
        <f>INDEX(Paramètres!$D$46:$D$75,MATCH(tblMatières[[#This Row],[Matière]],Paramètres!$B$46:$B$75,0))</f>
        <v>76.451627489198557</v>
      </c>
      <c r="O14" s="274">
        <f>tblMatières[[#This Row],[Coût brut]]-tblMatières[[#This Row],[Revenu brut]]</f>
        <v>183.21087432183018</v>
      </c>
      <c r="P14" s="325">
        <f>INDEX(Paramètres!$E$46:$E$75,MATCH(tblMatières[[#This Row],[Matière]],Paramètres!$B$46:$B$75,0))</f>
        <v>198557.60799695767</v>
      </c>
      <c r="Q14" s="364">
        <f>INDEX('Crédit contenu recyclé'!$F$6:$F$42,MATCH(tblMatières[[#This Row],[Matière]],'Crédit contenu recyclé'!$B$6:$B$42,0))</f>
        <v>0</v>
      </c>
      <c r="R14" s="421">
        <f>INDEX('Facteur 1'!$H$10:$H$46,MATCH(tblMatières[[#This Row],[Matière]],'Facteur 1'!$B$10:$B$46,0))</f>
        <v>7904968.8012549849</v>
      </c>
      <c r="S14" s="421">
        <f>INDEX('Facteur 2'!$J$10:$J$46,MATCH(tblMatières[[#This Row],[Matière]],'Facteur 2'!$B$10:$B$46,0))</f>
        <v>6643822.3178219469</v>
      </c>
      <c r="T14" s="421">
        <f>INDEX('Facteur 3'!$L$10:$L$46,MATCH(tblMatières[[#This Row],[Matière]],'Facteur 3'!$B$10:$B$46,0))</f>
        <v>2192368.4081235179</v>
      </c>
      <c r="U14" s="421">
        <f>INDEX('Frais de gestion &amp; RQ'!$G$10:$G$46,MATCH(tblMatières[[#This Row],[Matière]],'Frais de gestion &amp; RQ'!$B$10:$B$46,0))</f>
        <v>1262887.8899828312</v>
      </c>
      <c r="V14" s="421">
        <f>INDEX('Crédit contenu recyclé'!$J$6:$J$42,MATCH(tblMatières[[#This Row],[Matière]],'Crédit contenu recyclé'!$B$6:$B$42,0))</f>
        <v>0</v>
      </c>
      <c r="W14" s="421">
        <f>INDEX(Paramètres!$F$46:$F$75,MATCH(tblMatières[[#This Row],[Matière]],Paramètres!$B$46:$B$75,0))</f>
        <v>0</v>
      </c>
      <c r="X14" s="325">
        <f>INDEX(rgTarif_TxFinal,MATCH(tblMatières[[#This Row],[Matière]],rgTarif_Matières,0))</f>
        <v>201.48</v>
      </c>
    </row>
    <row r="15" spans="2:24">
      <c r="B15" s="37" t="s">
        <v>4</v>
      </c>
      <c r="C15" s="37" t="s">
        <v>37</v>
      </c>
      <c r="D15" s="37" t="s">
        <v>14</v>
      </c>
      <c r="E15" s="37">
        <v>14</v>
      </c>
      <c r="F15" s="272">
        <f>INDEX(rgDéclaration_NbDécl,MATCH(tblMatières[[#This Row],[Matière]],rgDéclaration_Matières,0))</f>
        <v>47</v>
      </c>
      <c r="G15" s="271">
        <f>INT(INDEX(rgDéclaration_QtéFinale,MATCH(tblMatières[[#This Row],[Matière]],rgDéclaration_Matières,0)))</f>
        <v>10642311</v>
      </c>
      <c r="H15" s="271">
        <f>tblMatières[[#This Row],[Quantité attendue net (kg)]]/1000</f>
        <v>10642.311</v>
      </c>
      <c r="I15" s="271">
        <f>tblMatières[[#This Row],[Quantité déclarée (tonnes)]]</f>
        <v>10642.311</v>
      </c>
      <c r="J15" s="271">
        <f>tblMatières[[#This Row],[Quantité générée (tonnes)]]*tblMatières[[#This Row],[% récupération]]</f>
        <v>8288.6371859637784</v>
      </c>
      <c r="K15" s="271">
        <f>tblMatières[[#This Row],[Quantité générée (tonnes)]]-tblMatières[[#This Row],[Quantité récupérée (tonnes)]]</f>
        <v>2353.6738140362213</v>
      </c>
      <c r="L15" s="418">
        <f>INDEX(Caractérisation!$C$7:$C$36,MATCH(tblMatières[[#This Row],[Matière]],Caractérisation!$B$7:$B$36,0))</f>
        <v>0.77883809127207226</v>
      </c>
      <c r="M15" s="447">
        <f>INDEX(Paramètres!$C$46:$C$75,MATCH(tblMatières[[#This Row],[Matière]],Paramètres!$B$46:$B$75,0))</f>
        <v>287.44345511818813</v>
      </c>
      <c r="N15" s="447">
        <f>INDEX(Paramètres!$D$46:$D$75,MATCH(tblMatières[[#This Row],[Matière]],Paramètres!$B$46:$B$75,0))</f>
        <v>72.915491863072418</v>
      </c>
      <c r="O15" s="274">
        <f>tblMatières[[#This Row],[Coût brut]]-tblMatières[[#This Row],[Revenu brut]]</f>
        <v>214.52796325511571</v>
      </c>
      <c r="P15" s="325">
        <f>INDEX(Paramètres!$E$46:$E$75,MATCH(tblMatières[[#This Row],[Matière]],Paramètres!$B$46:$B$75,0))</f>
        <v>23647.776488251198</v>
      </c>
      <c r="Q15" s="364">
        <f>INDEX('Crédit contenu recyclé'!$F$6:$F$42,MATCH(tblMatières[[#This Row],[Matière]],'Crédit contenu recyclé'!$B$6:$B$42,0))</f>
        <v>0</v>
      </c>
      <c r="R15" s="421">
        <f>INDEX('Facteur 1'!$H$10:$H$46,MATCH(tblMatières[[#This Row],[Matière]],'Facteur 1'!$B$10:$B$46,0))</f>
        <v>546144.01761493157</v>
      </c>
      <c r="S15" s="421">
        <f>INDEX('Facteur 2'!$J$10:$J$46,MATCH(tblMatières[[#This Row],[Matière]],'Facteur 2'!$B$10:$B$46,0))</f>
        <v>1166231.3720701886</v>
      </c>
      <c r="T15" s="421">
        <f>INDEX('Facteur 3'!$L$10:$L$46,MATCH(tblMatières[[#This Row],[Matière]],'Facteur 3'!$B$10:$B$46,0))</f>
        <v>177358.99457880936</v>
      </c>
      <c r="U15" s="421">
        <f>INDEX('Frais de gestion &amp; RQ'!$G$10:$G$46,MATCH(tblMatières[[#This Row],[Matière]],'Frais de gestion &amp; RQ'!$B$10:$B$46,0))</f>
        <v>150407.18335250468</v>
      </c>
      <c r="V15" s="421">
        <f>INDEX('Crédit contenu recyclé'!$J$6:$J$42,MATCH(tblMatières[[#This Row],[Matière]],'Crédit contenu recyclé'!$B$6:$B$42,0))</f>
        <v>0</v>
      </c>
      <c r="W15" s="421">
        <f>INDEX(Paramètres!$F$46:$F$75,MATCH(tblMatières[[#This Row],[Matière]],Paramètres!$B$46:$B$75,0))</f>
        <v>0</v>
      </c>
      <c r="X15" s="325">
        <f>INDEX(rgTarif_TxFinal,MATCH(tblMatières[[#This Row],[Matière]],rgTarif_Matières,0))</f>
        <v>191.7</v>
      </c>
    </row>
    <row r="16" spans="2:24">
      <c r="B16" s="37" t="s">
        <v>4</v>
      </c>
      <c r="C16" s="37" t="s">
        <v>37</v>
      </c>
      <c r="D16" s="37" t="s">
        <v>15</v>
      </c>
      <c r="E16" s="37">
        <v>15</v>
      </c>
      <c r="F16" s="272">
        <f>INDEX(rgDéclaration_NbDécl,MATCH(tblMatières[[#This Row],[Matière]],rgDéclaration_Matières,0))</f>
        <v>317</v>
      </c>
      <c r="G16" s="271">
        <f>INT(INDEX(rgDéclaration_QtéFinale,MATCH(tblMatières[[#This Row],[Matière]],rgDéclaration_Matières,0)))</f>
        <v>13221805</v>
      </c>
      <c r="H16" s="271">
        <f>tblMatières[[#This Row],[Quantité attendue net (kg)]]/1000</f>
        <v>13221.805</v>
      </c>
      <c r="I16" s="271">
        <f>tblMatières[[#This Row],[Quantité déclarée (tonnes)]]</f>
        <v>13221.805</v>
      </c>
      <c r="J16" s="271">
        <f>tblMatières[[#This Row],[Quantité générée (tonnes)]]*tblMatières[[#This Row],[% récupération]]</f>
        <v>4420.5794650618791</v>
      </c>
      <c r="K16" s="271">
        <f>tblMatières[[#This Row],[Quantité générée (tonnes)]]-tblMatières[[#This Row],[Quantité récupérée (tonnes)]]</f>
        <v>8801.2255349381212</v>
      </c>
      <c r="L16" s="418">
        <f>INDEX(Caractérisation!$C$7:$C$36,MATCH(tblMatières[[#This Row],[Matière]],Caractérisation!$B$7:$B$36,0))</f>
        <v>0.33434008934951615</v>
      </c>
      <c r="M16" s="447">
        <f>INDEX(Paramètres!$C$46:$C$75,MATCH(tblMatières[[#This Row],[Matière]],Paramètres!$B$46:$B$75,0))</f>
        <v>301.24764590318324</v>
      </c>
      <c r="N16" s="447">
        <f>INDEX(Paramètres!$D$46:$D$75,MATCH(tblMatières[[#This Row],[Matière]],Paramètres!$B$46:$B$75,0))</f>
        <v>37.009893767440225</v>
      </c>
      <c r="O16" s="274">
        <f>tblMatières[[#This Row],[Coût brut]]-tblMatières[[#This Row],[Revenu brut]]</f>
        <v>264.23775213574299</v>
      </c>
      <c r="P16" s="325">
        <f>INDEX(Paramètres!$E$46:$E$75,MATCH(tblMatières[[#This Row],[Matière]],Paramètres!$B$46:$B$75,0))</f>
        <v>29379.548240155935</v>
      </c>
      <c r="Q16" s="364">
        <f>INDEX('Crédit contenu recyclé'!$F$6:$F$42,MATCH(tblMatières[[#This Row],[Matière]],'Crédit contenu recyclé'!$B$6:$B$42,0))</f>
        <v>0</v>
      </c>
      <c r="R16" s="421">
        <f>INDEX('Facteur 1'!$H$10:$H$46,MATCH(tblMatières[[#This Row],[Matière]],'Facteur 1'!$B$10:$B$46,0))</f>
        <v>2042227.1960205692</v>
      </c>
      <c r="S16" s="421">
        <f>INDEX('Facteur 2'!$J$10:$J$46,MATCH(tblMatières[[#This Row],[Matière]],'Facteur 2'!$B$10:$B$46,0))</f>
        <v>766111.08902297658</v>
      </c>
      <c r="T16" s="421">
        <f>INDEX('Facteur 3'!$L$10:$L$46,MATCH(tblMatières[[#This Row],[Matière]],'Facteur 3'!$B$10:$B$46,0))</f>
        <v>816885.24049692438</v>
      </c>
      <c r="U16" s="421">
        <f>INDEX('Frais de gestion &amp; RQ'!$G$10:$G$46,MATCH(tblMatières[[#This Row],[Matière]],'Frais de gestion &amp; RQ'!$B$10:$B$46,0))</f>
        <v>186863.0271081219</v>
      </c>
      <c r="V16" s="421">
        <f>INDEX('Crédit contenu recyclé'!$J$6:$J$42,MATCH(tblMatières[[#This Row],[Matière]],'Crédit contenu recyclé'!$B$6:$B$42,0))</f>
        <v>0</v>
      </c>
      <c r="W16" s="421">
        <f>INDEX(Paramètres!$F$46:$F$75,MATCH(tblMatières[[#This Row],[Matière]],Paramètres!$B$46:$B$75,0))</f>
        <v>0</v>
      </c>
      <c r="X16" s="325">
        <f>INDEX(rgTarif_TxFinal,MATCH(tblMatières[[#This Row],[Matière]],rgTarif_Matières,0))</f>
        <v>288.32</v>
      </c>
    </row>
    <row r="17" spans="2:24">
      <c r="B17" s="37" t="s">
        <v>4</v>
      </c>
      <c r="C17" s="37" t="s">
        <v>37</v>
      </c>
      <c r="D17" s="37" t="s">
        <v>16</v>
      </c>
      <c r="E17" s="37">
        <v>16</v>
      </c>
      <c r="F17" s="272">
        <f>INDEX(rgDéclaration_NbDécl,MATCH(tblMatières[[#This Row],[Matière]],rgDéclaration_Matières,0))</f>
        <v>47</v>
      </c>
      <c r="G17" s="271">
        <f>INT(INDEX(rgDéclaration_QtéFinale,MATCH(tblMatières[[#This Row],[Matière]],rgDéclaration_Matières,0)))</f>
        <v>5960890</v>
      </c>
      <c r="H17" s="271">
        <f>tblMatières[[#This Row],[Quantité attendue net (kg)]]/1000</f>
        <v>5960.89</v>
      </c>
      <c r="I17" s="271">
        <f>tblMatières[[#This Row],[Quantité déclarée (tonnes)]]</f>
        <v>5960.89</v>
      </c>
      <c r="J17" s="271">
        <f>tblMatières[[#This Row],[Quantité générée (tonnes)]]*tblMatières[[#This Row],[% récupération]]</f>
        <v>3275.4908245800875</v>
      </c>
      <c r="K17" s="271">
        <f>tblMatières[[#This Row],[Quantité générée (tonnes)]]-tblMatières[[#This Row],[Quantité récupérée (tonnes)]]</f>
        <v>2685.3991754199128</v>
      </c>
      <c r="L17" s="418">
        <f>INDEX(Caractérisation!$C$7:$C$36,MATCH(tblMatières[[#This Row],[Matière]],Caractérisation!$B$7:$B$36,0))</f>
        <v>0.54949694166141083</v>
      </c>
      <c r="M17" s="447">
        <f>INDEX(Paramètres!$C$46:$C$75,MATCH(tblMatières[[#This Row],[Matière]],Paramètres!$B$46:$B$75,0))</f>
        <v>288.99954007779075</v>
      </c>
      <c r="N17" s="447">
        <f>INDEX(Paramètres!$D$46:$D$75,MATCH(tblMatières[[#This Row],[Matière]],Paramètres!$B$46:$B$75,0))</f>
        <v>64.475038036018375</v>
      </c>
      <c r="O17" s="274">
        <f>tblMatières[[#This Row],[Coût brut]]-tblMatières[[#This Row],[Revenu brut]]</f>
        <v>224.52450204177239</v>
      </c>
      <c r="P17" s="325">
        <f>INDEX(Paramètres!$E$46:$E$75,MATCH(tblMatières[[#This Row],[Matière]],Paramètres!$B$46:$B$75,0))</f>
        <v>13245.412052988464</v>
      </c>
      <c r="Q17" s="364">
        <f>INDEX('Crédit contenu recyclé'!$F$6:$F$42,MATCH(tblMatières[[#This Row],[Matière]],'Crédit contenu recyclé'!$B$6:$B$42,0))</f>
        <v>0</v>
      </c>
      <c r="R17" s="421">
        <f>INDEX('Facteur 1'!$H$10:$H$46,MATCH(tblMatières[[#This Row],[Matière]],'Facteur 1'!$B$10:$B$46,0))</f>
        <v>623117.22457778314</v>
      </c>
      <c r="S17" s="421">
        <f>INDEX('Facteur 2'!$J$10:$J$46,MATCH(tblMatières[[#This Row],[Matière]],'Facteur 2'!$B$10:$B$46,0))</f>
        <v>482345.03172149078</v>
      </c>
      <c r="T17" s="421">
        <f>INDEX('Facteur 3'!$L$10:$L$46,MATCH(tblMatières[[#This Row],[Matière]],'Facteur 3'!$B$10:$B$46,0))</f>
        <v>211785.20911936346</v>
      </c>
      <c r="U17" s="421">
        <f>INDEX('Frais de gestion &amp; RQ'!$G$10:$G$46,MATCH(tblMatières[[#This Row],[Matière]],'Frais de gestion &amp; RQ'!$B$10:$B$46,0))</f>
        <v>84244.923416926264</v>
      </c>
      <c r="V17" s="421">
        <f>INDEX('Crédit contenu recyclé'!$J$6:$J$42,MATCH(tblMatières[[#This Row],[Matière]],'Crédit contenu recyclé'!$B$6:$B$42,0))</f>
        <v>0</v>
      </c>
      <c r="W17" s="421">
        <f>INDEX(Paramètres!$F$46:$F$75,MATCH(tblMatières[[#This Row],[Matière]],Paramètres!$B$46:$B$75,0))</f>
        <v>0</v>
      </c>
      <c r="X17" s="325">
        <f>INDEX(rgTarif_TxFinal,MATCH(tblMatières[[#This Row],[Matière]],rgTarif_Matières,0))</f>
        <v>235.11</v>
      </c>
    </row>
    <row r="18" spans="2:24">
      <c r="B18" s="37" t="s">
        <v>4</v>
      </c>
      <c r="C18" s="37" t="s">
        <v>22</v>
      </c>
      <c r="D18" s="37" t="s">
        <v>24</v>
      </c>
      <c r="E18" s="37">
        <v>20</v>
      </c>
      <c r="F18" s="272">
        <f>INDEX(rgDéclaration_NbDécl,MATCH(tblMatières[[#This Row],[Matière]],rgDéclaration_Matières,0))</f>
        <v>206</v>
      </c>
      <c r="G18" s="271">
        <f>INT(INDEX(rgDéclaration_QtéFinale,MATCH(tblMatières[[#This Row],[Matière]],rgDéclaration_Matières,0)))</f>
        <v>28454071</v>
      </c>
      <c r="H18" s="271">
        <f>tblMatières[[#This Row],[Quantité attendue net (kg)]]/1000</f>
        <v>28454.071</v>
      </c>
      <c r="I18" s="271">
        <f>tblMatières[[#This Row],[Quantité déclarée (tonnes)]]</f>
        <v>28454.071</v>
      </c>
      <c r="J18" s="271">
        <f>tblMatières[[#This Row],[Quantité générée (tonnes)]]*tblMatières[[#This Row],[% récupération]]</f>
        <v>19296.023522834832</v>
      </c>
      <c r="K18" s="271">
        <f>tblMatières[[#This Row],[Quantité générée (tonnes)]]-tblMatières[[#This Row],[Quantité récupérée (tonnes)]]</f>
        <v>9158.0474771651679</v>
      </c>
      <c r="L18" s="418">
        <f>INDEX(Caractérisation!$C$7:$C$36,MATCH(tblMatières[[#This Row],[Matière]],Caractérisation!$B$7:$B$36,0))</f>
        <v>0.67814631947867254</v>
      </c>
      <c r="M18" s="447">
        <f>INDEX(Paramètres!$C$46:$C$75,MATCH(tblMatières[[#This Row],[Matière]],Paramètres!$B$46:$B$75,0))</f>
        <v>502.04989326084126</v>
      </c>
      <c r="N18" s="447">
        <f>INDEX(Paramètres!$D$46:$D$75,MATCH(tblMatières[[#This Row],[Matière]],Paramètres!$B$46:$B$75,0))</f>
        <v>210.26880550634357</v>
      </c>
      <c r="O18" s="274">
        <f>tblMatières[[#This Row],[Coût brut]]-tblMatières[[#This Row],[Revenu brut]]</f>
        <v>291.78108775449766</v>
      </c>
      <c r="P18" s="325">
        <f>INDEX(Paramètres!$E$46:$E$75,MATCH(tblMatières[[#This Row],[Matière]],Paramètres!$B$46:$B$75,0))</f>
        <v>130295.62774662119</v>
      </c>
      <c r="Q18" s="364">
        <f>INDEX('Crédit contenu recyclé'!$F$6:$F$42,MATCH(tblMatières[[#This Row],[Matière]],'Crédit contenu recyclé'!$B$6:$B$42,0))</f>
        <v>7.4999999999999997E-2</v>
      </c>
      <c r="R18" s="421">
        <f>INDEX('Facteur 1'!$H$10:$H$46,MATCH(tblMatières[[#This Row],[Matière]],'Facteur 1'!$B$10:$B$46,0))</f>
        <v>2125023.7874339125</v>
      </c>
      <c r="S18" s="421">
        <f>INDEX('Facteur 2'!$J$10:$J$46,MATCH(tblMatières[[#This Row],[Matière]],'Facteur 2'!$B$10:$B$46,0))</f>
        <v>3692688.2061701063</v>
      </c>
      <c r="T18" s="421">
        <f>INDEX('Facteur 3'!$L$10:$L$46,MATCH(tblMatières[[#This Row],[Matière]],'Facteur 3'!$B$10:$B$46,0))</f>
        <v>938605.4307024841</v>
      </c>
      <c r="U18" s="421">
        <f>INDEX('Frais de gestion &amp; RQ'!$G$10:$G$46,MATCH(tblMatières[[#This Row],[Matière]],'Frais de gestion &amp; RQ'!$B$10:$B$46,0))</f>
        <v>828720.55147562083</v>
      </c>
      <c r="V18" s="421">
        <f>INDEX('Crédit contenu recyclé'!$J$6:$J$42,MATCH(tblMatières[[#This Row],[Matière]],'Crédit contenu recyclé'!$B$6:$B$42,0))</f>
        <v>121816.79319900616</v>
      </c>
      <c r="W18" s="421">
        <f>INDEX(Paramètres!$F$46:$F$75,MATCH(tblMatières[[#This Row],[Matière]],Paramètres!$B$46:$B$75,0))</f>
        <v>0</v>
      </c>
      <c r="X18" s="325">
        <f>INDEX(rgTarif_TxFinal,MATCH(tblMatières[[#This Row],[Matière]],rgTarif_Matières,0))</f>
        <v>285.41000000000003</v>
      </c>
    </row>
    <row r="19" spans="2:24">
      <c r="B19" s="37" t="s">
        <v>4</v>
      </c>
      <c r="C19" s="37" t="s">
        <v>22</v>
      </c>
      <c r="D19" s="37" t="s">
        <v>25</v>
      </c>
      <c r="E19" s="37">
        <v>21</v>
      </c>
      <c r="F19" s="272">
        <f>INDEX(rgDéclaration_NbDécl,MATCH(tblMatières[[#This Row],[Matière]],rgDéclaration_Matières,0))</f>
        <v>283</v>
      </c>
      <c r="G19" s="271">
        <f>INT(INDEX(rgDéclaration_QtéFinale,MATCH(tblMatières[[#This Row],[Matière]],rgDéclaration_Matières,0)))</f>
        <v>19105121</v>
      </c>
      <c r="H19" s="271">
        <f>tblMatières[[#This Row],[Quantité attendue net (kg)]]/1000</f>
        <v>19105.120999999999</v>
      </c>
      <c r="I19" s="271">
        <f>tblMatières[[#This Row],[Quantité déclarée (tonnes)]]</f>
        <v>19105.120999999999</v>
      </c>
      <c r="J19" s="271">
        <f>tblMatières[[#This Row],[Quantité générée (tonnes)]]*tblMatières[[#This Row],[% récupération]]</f>
        <v>12997.599355643866</v>
      </c>
      <c r="K19" s="271">
        <f>tblMatières[[#This Row],[Quantité générée (tonnes)]]-tblMatières[[#This Row],[Quantité récupérée (tonnes)]]</f>
        <v>6107.521644356133</v>
      </c>
      <c r="L19" s="418">
        <f>INDEX(Caractérisation!$C$7:$C$36,MATCH(tblMatières[[#This Row],[Matière]],Caractérisation!$B$7:$B$36,0))</f>
        <v>0.68032017989542526</v>
      </c>
      <c r="M19" s="447">
        <f>INDEX(Paramètres!$C$46:$C$75,MATCH(tblMatières[[#This Row],[Matière]],Paramètres!$B$46:$B$75,0))</f>
        <v>435.96853696724213</v>
      </c>
      <c r="N19" s="447">
        <f>INDEX(Paramètres!$D$46:$D$75,MATCH(tblMatières[[#This Row],[Matière]],Paramètres!$B$46:$B$75,0))</f>
        <v>424.28662041482266</v>
      </c>
      <c r="O19" s="274">
        <f>tblMatières[[#This Row],[Coût brut]]-tblMatières[[#This Row],[Revenu brut]]</f>
        <v>11.681916552419466</v>
      </c>
      <c r="P19" s="325">
        <f>INDEX(Paramètres!$E$46:$E$75,MATCH(tblMatières[[#This Row],[Matière]],Paramètres!$B$46:$B$75,0))</f>
        <v>87485.327982423158</v>
      </c>
      <c r="Q19" s="364">
        <f>INDEX('Crédit contenu recyclé'!$F$6:$F$42,MATCH(tblMatières[[#This Row],[Matière]],'Crédit contenu recyclé'!$B$6:$B$42,0))</f>
        <v>0</v>
      </c>
      <c r="R19" s="421">
        <f>INDEX('Facteur 1'!$H$10:$H$46,MATCH(tblMatières[[#This Row],[Matière]],'Facteur 1'!$B$10:$B$46,0))</f>
        <v>1417182.9539959691</v>
      </c>
      <c r="S19" s="421">
        <f>INDEX('Facteur 2'!$J$10:$J$46,MATCH(tblMatières[[#This Row],[Matière]],'Facteur 2'!$B$10:$B$46,0))</f>
        <v>99585.228914113221</v>
      </c>
      <c r="T19" s="421">
        <f>INDEX('Facteur 3'!$L$10:$L$46,MATCH(tblMatières[[#This Row],[Matière]],'Facteur 3'!$B$10:$B$46,0))</f>
        <v>25061.216445089227</v>
      </c>
      <c r="U19" s="421">
        <f>INDEX('Frais de gestion &amp; RQ'!$G$10:$G$46,MATCH(tblMatières[[#This Row],[Matière]],'Frais de gestion &amp; RQ'!$B$10:$B$46,0))</f>
        <v>556433.78450586088</v>
      </c>
      <c r="V19" s="421">
        <f>INDEX('Crédit contenu recyclé'!$J$6:$J$42,MATCH(tblMatières[[#This Row],[Matière]],'Crédit contenu recyclé'!$B$6:$B$42,0))</f>
        <v>0</v>
      </c>
      <c r="W19" s="421">
        <f>INDEX(Paramètres!$F$46:$F$75,MATCH(tblMatières[[#This Row],[Matière]],Paramètres!$B$46:$B$75,0))</f>
        <v>0</v>
      </c>
      <c r="X19" s="325">
        <f>INDEX(rgTarif_TxFinal,MATCH(tblMatières[[#This Row],[Matière]],rgTarif_Matières,0))</f>
        <v>109.83</v>
      </c>
    </row>
    <row r="20" spans="2:24">
      <c r="B20" s="37" t="s">
        <v>4</v>
      </c>
      <c r="C20" s="37" t="s">
        <v>22</v>
      </c>
      <c r="D20" s="37" t="s">
        <v>23</v>
      </c>
      <c r="E20" s="37">
        <v>22</v>
      </c>
      <c r="F20" s="272">
        <f>INDEX(rgDéclaration_NbDécl,MATCH(tblMatières[[#This Row],[Matière]],rgDéclaration_Matières,0))</f>
        <v>397</v>
      </c>
      <c r="G20" s="271">
        <f>INT(INDEX(rgDéclaration_QtéFinale,MATCH(tblMatières[[#This Row],[Matière]],rgDéclaration_Matières,0)))</f>
        <v>18345512</v>
      </c>
      <c r="H20" s="271">
        <f>tblMatières[[#This Row],[Quantité attendue net (kg)]]/1000</f>
        <v>18345.511999999999</v>
      </c>
      <c r="I20" s="271">
        <f>tblMatières[[#This Row],[Quantité déclarée (tonnes)]]</f>
        <v>18345.511999999999</v>
      </c>
      <c r="J20" s="271">
        <f>tblMatières[[#This Row],[Quantité générée (tonnes)]]*tblMatières[[#This Row],[% récupération]]</f>
        <v>2963.9007205395051</v>
      </c>
      <c r="K20" s="271">
        <f>tblMatières[[#This Row],[Quantité générée (tonnes)]]-tblMatières[[#This Row],[Quantité récupérée (tonnes)]]</f>
        <v>15381.611279460494</v>
      </c>
      <c r="L20" s="418">
        <f>INDEX(Caractérisation!$C$7:$C$36,MATCH(tblMatières[[#This Row],[Matière]],Caractérisation!$B$7:$B$36,0))</f>
        <v>0.16155998919733094</v>
      </c>
      <c r="M20" s="447">
        <f>INDEX(Paramètres!$C$46:$C$75,MATCH(tblMatières[[#This Row],[Matière]],Paramètres!$B$46:$B$75,0))</f>
        <v>607.46660078724142</v>
      </c>
      <c r="N20" s="447">
        <f>INDEX(Paramètres!$D$46:$D$75,MATCH(tblMatières[[#This Row],[Matière]],Paramètres!$B$46:$B$75,0))</f>
        <v>-55.519554461940743</v>
      </c>
      <c r="O20" s="274">
        <f>tblMatières[[#This Row],[Coût brut]]-tblMatières[[#This Row],[Revenu brut]]</f>
        <v>662.98615524918216</v>
      </c>
      <c r="P20" s="325">
        <f>INDEX(Paramètres!$E$46:$E$75,MATCH(tblMatières[[#This Row],[Matière]],Paramètres!$B$46:$B$75,0))</f>
        <v>84006.95993108234</v>
      </c>
      <c r="Q20" s="364">
        <f>INDEX('Crédit contenu recyclé'!$F$6:$F$42,MATCH(tblMatières[[#This Row],[Matière]],'Crédit contenu recyclé'!$B$6:$B$42,0))</f>
        <v>0</v>
      </c>
      <c r="R20" s="421">
        <f>INDEX('Facteur 1'!$H$10:$H$46,MATCH(tblMatières[[#This Row],[Matière]],'Facteur 1'!$B$10:$B$46,0))</f>
        <v>3569133.0427600294</v>
      </c>
      <c r="S20" s="421">
        <f>INDEX('Facteur 2'!$J$10:$J$46,MATCH(tblMatières[[#This Row],[Matière]],'Facteur 2'!$B$10:$B$46,0))</f>
        <v>1288800.785696438</v>
      </c>
      <c r="T20" s="421">
        <f>INDEX('Facteur 3'!$L$10:$L$46,MATCH(tblMatières[[#This Row],[Matière]],'Facteur 3'!$B$10:$B$46,0))</f>
        <v>3582030.8690075818</v>
      </c>
      <c r="U20" s="421">
        <f>INDEX('Frais de gestion &amp; RQ'!$G$10:$G$46,MATCH(tblMatières[[#This Row],[Matière]],'Frais de gestion &amp; RQ'!$B$10:$B$46,0))</f>
        <v>534310.28627652687</v>
      </c>
      <c r="V20" s="421">
        <f>INDEX('Crédit contenu recyclé'!$J$6:$J$42,MATCH(tblMatières[[#This Row],[Matière]],'Crédit contenu recyclé'!$B$6:$B$42,0))</f>
        <v>0</v>
      </c>
      <c r="W20" s="421">
        <f>INDEX(Paramètres!$F$46:$F$75,MATCH(tblMatières[[#This Row],[Matière]],Paramètres!$B$46:$B$75,0))</f>
        <v>0</v>
      </c>
      <c r="X20" s="325">
        <f>INDEX(rgTarif_TxFinal,MATCH(tblMatières[[#This Row],[Matière]],rgTarif_Matières,0))</f>
        <v>474.33</v>
      </c>
    </row>
    <row r="21" spans="2:24">
      <c r="B21" s="37" t="s">
        <v>4</v>
      </c>
      <c r="C21" s="37" t="s">
        <v>22</v>
      </c>
      <c r="D21" s="37" t="s">
        <v>26</v>
      </c>
      <c r="E21" s="37">
        <v>23</v>
      </c>
      <c r="F21" s="272">
        <f>INDEX(rgDéclaration_NbDécl,MATCH(tblMatières[[#This Row],[Matière]],rgDéclaration_Matières,0))</f>
        <v>546</v>
      </c>
      <c r="G21" s="271">
        <f>INT(INDEX(rgDéclaration_QtéFinale,MATCH(tblMatières[[#This Row],[Matière]],rgDéclaration_Matières,0)))</f>
        <v>20600752</v>
      </c>
      <c r="H21" s="271">
        <f>tblMatières[[#This Row],[Quantité attendue net (kg)]]/1000</f>
        <v>20600.752</v>
      </c>
      <c r="I21" s="271">
        <f>tblMatières[[#This Row],[Quantité déclarée (tonnes)]]</f>
        <v>20600.752</v>
      </c>
      <c r="J21" s="271">
        <f>tblMatières[[#This Row],[Quantité générée (tonnes)]]*tblMatières[[#This Row],[% récupération]]</f>
        <v>7167.664015781269</v>
      </c>
      <c r="K21" s="271">
        <f>tblMatières[[#This Row],[Quantité générée (tonnes)]]-tblMatières[[#This Row],[Quantité récupérée (tonnes)]]</f>
        <v>13433.087984218731</v>
      </c>
      <c r="L21" s="418">
        <f>INDEX(Caractérisation!$C$7:$C$36,MATCH(tblMatières[[#This Row],[Matière]],Caractérisation!$B$7:$B$36,0))</f>
        <v>0.34793215392240384</v>
      </c>
      <c r="M21" s="447">
        <f>INDEX(Paramètres!$C$46:$C$75,MATCH(tblMatières[[#This Row],[Matière]],Paramètres!$B$46:$B$75,0))</f>
        <v>622.23412713720745</v>
      </c>
      <c r="N21" s="447">
        <f>INDEX(Paramètres!$D$46:$D$75,MATCH(tblMatières[[#This Row],[Matière]],Paramètres!$B$46:$B$75,0))</f>
        <v>5.2214900955825367</v>
      </c>
      <c r="O21" s="274">
        <f>tblMatières[[#This Row],[Coût brut]]-tblMatières[[#This Row],[Revenu brut]]</f>
        <v>617.01263704162488</v>
      </c>
      <c r="P21" s="325">
        <f>INDEX(Paramètres!$E$46:$E$75,MATCH(tblMatières[[#This Row],[Matière]],Paramètres!$B$46:$B$75,0))</f>
        <v>94334.055534354367</v>
      </c>
      <c r="Q21" s="364">
        <f>INDEX('Crédit contenu recyclé'!$F$6:$F$42,MATCH(tblMatières[[#This Row],[Matière]],'Crédit contenu recyclé'!$B$6:$B$42,0))</f>
        <v>0</v>
      </c>
      <c r="R21" s="421">
        <f>INDEX('Facteur 1'!$H$10:$H$46,MATCH(tblMatières[[#This Row],[Matière]],'Facteur 1'!$B$10:$B$46,0))</f>
        <v>3116999.7290725596</v>
      </c>
      <c r="S21" s="421">
        <f>INDEX('Facteur 2'!$J$10:$J$46,MATCH(tblMatières[[#This Row],[Matière]],'Facteur 2'!$B$10:$B$46,0))</f>
        <v>2900610.2608958771</v>
      </c>
      <c r="T21" s="421">
        <f>INDEX('Facteur 3'!$L$10:$L$46,MATCH(tblMatières[[#This Row],[Matière]],'Facteur 3'!$B$10:$B$46,0))</f>
        <v>2911340.1600820427</v>
      </c>
      <c r="U21" s="421">
        <f>INDEX('Frais de gestion &amp; RQ'!$G$10:$G$46,MATCH(tblMatières[[#This Row],[Matière]],'Frais de gestion &amp; RQ'!$B$10:$B$46,0))</f>
        <v>599993.81312616041</v>
      </c>
      <c r="V21" s="421">
        <f>INDEX('Crédit contenu recyclé'!$J$6:$J$42,MATCH(tblMatières[[#This Row],[Matière]],'Crédit contenu recyclé'!$B$6:$B$42,0))</f>
        <v>0</v>
      </c>
      <c r="W21" s="421">
        <f>INDEX(Paramètres!$F$46:$F$75,MATCH(tblMatières[[#This Row],[Matière]],Paramètres!$B$46:$B$75,0))</f>
        <v>0</v>
      </c>
      <c r="X21" s="325">
        <f>INDEX(rgTarif_TxFinal,MATCH(tblMatières[[#This Row],[Matière]],rgTarif_Matières,0))</f>
        <v>474.33</v>
      </c>
    </row>
    <row r="22" spans="2:24">
      <c r="B22" s="37" t="s">
        <v>4</v>
      </c>
      <c r="C22" s="37" t="s">
        <v>22</v>
      </c>
      <c r="D22" s="37" t="s">
        <v>203</v>
      </c>
      <c r="E22" s="37">
        <v>24</v>
      </c>
      <c r="F22" s="272">
        <f>INDEX(rgDéclaration_NbDécl,MATCH(tblMatières[[#This Row],[Matière]],rgDéclaration_Matières,0))</f>
        <v>186</v>
      </c>
      <c r="G22" s="271">
        <f>INT(INDEX(rgDéclaration_QtéFinale,MATCH(tblMatières[[#This Row],[Matière]],rgDéclaration_Matières,0)))</f>
        <v>8808546</v>
      </c>
      <c r="H22" s="271">
        <f>tblMatières[[#This Row],[Quantité attendue net (kg)]]/1000</f>
        <v>8808.5460000000003</v>
      </c>
      <c r="I22" s="271">
        <f>tblMatières[[#This Row],[Quantité déclarée (tonnes)]]</f>
        <v>8808.5460000000003</v>
      </c>
      <c r="J22" s="271">
        <f>tblMatières[[#This Row],[Quantité générée (tonnes)]]*tblMatières[[#This Row],[% récupération]]</f>
        <v>1388.0863033855567</v>
      </c>
      <c r="K22" s="271">
        <f>tblMatières[[#This Row],[Quantité générée (tonnes)]]-tblMatières[[#This Row],[Quantité récupérée (tonnes)]]</f>
        <v>7420.4596966144436</v>
      </c>
      <c r="L22" s="418">
        <f>INDEX(Caractérisation!$C$7:$C$36,MATCH(tblMatières[[#This Row],[Matière]],Caractérisation!$B$7:$B$36,0))</f>
        <v>0.15758404433439488</v>
      </c>
      <c r="M22" s="447">
        <f>INDEX(Paramètres!$C$46:$C$75,MATCH(tblMatières[[#This Row],[Matière]],Paramètres!$B$46:$B$75,0))</f>
        <v>622.23412713720745</v>
      </c>
      <c r="N22" s="447">
        <f>INDEX(Paramètres!$D$46:$D$75,MATCH(tblMatières[[#This Row],[Matière]],Paramètres!$B$46:$B$75,0))</f>
        <v>5.2214900955825367</v>
      </c>
      <c r="O22" s="274">
        <f>tblMatières[[#This Row],[Coût brut]]-tblMatières[[#This Row],[Revenu brut]]</f>
        <v>617.01263704162488</v>
      </c>
      <c r="P22" s="325">
        <f>INDEX(Paramètres!$E$46:$E$75,MATCH(tblMatières[[#This Row],[Matière]],Paramètres!$B$46:$B$75,0))</f>
        <v>40335.705586908429</v>
      </c>
      <c r="Q22" s="364">
        <f>INDEX('Crédit contenu recyclé'!$F$6:$F$42,MATCH(tblMatières[[#This Row],[Matière]],'Crédit contenu recyclé'!$B$6:$B$42,0))</f>
        <v>0</v>
      </c>
      <c r="R22" s="421">
        <f>INDEX('Facteur 1'!$H$10:$H$46,MATCH(tblMatières[[#This Row],[Matière]],'Facteur 1'!$B$10:$B$46,0))</f>
        <v>1721835.7306312458</v>
      </c>
      <c r="S22" s="421">
        <f>INDEX('Facteur 2'!$J$10:$J$46,MATCH(tblMatières[[#This Row],[Matière]],'Facteur 2'!$B$10:$B$46,0))</f>
        <v>561730.76273446262</v>
      </c>
      <c r="T22" s="421">
        <f>INDEX('Facteur 3'!$L$10:$L$46,MATCH(tblMatières[[#This Row],[Matière]],'Facteur 3'!$B$10:$B$46,0))</f>
        <v>1608229.0495233661</v>
      </c>
      <c r="U22" s="421">
        <f>INDEX('Frais de gestion &amp; RQ'!$G$10:$G$46,MATCH(tblMatières[[#This Row],[Matière]],'Frais de gestion &amp; RQ'!$B$10:$B$46,0))</f>
        <v>256547.58149785933</v>
      </c>
      <c r="V22" s="421">
        <f>INDEX('Crédit contenu recyclé'!$J$6:$J$42,MATCH(tblMatières[[#This Row],[Matière]],'Crédit contenu recyclé'!$B$6:$B$42,0))</f>
        <v>0</v>
      </c>
      <c r="W22" s="421">
        <f>INDEX(Paramètres!$F$46:$F$75,MATCH(tblMatières[[#This Row],[Matière]],Paramètres!$B$46:$B$75,0))</f>
        <v>0</v>
      </c>
      <c r="X22" s="325">
        <f>INDEX(rgTarif_TxFinal,MATCH(tblMatières[[#This Row],[Matière]],rgTarif_Matières,0))</f>
        <v>474.33</v>
      </c>
    </row>
    <row r="23" spans="2:24">
      <c r="B23" s="37" t="s">
        <v>4</v>
      </c>
      <c r="C23" s="37" t="s">
        <v>22</v>
      </c>
      <c r="D23" s="37" t="s">
        <v>161</v>
      </c>
      <c r="E23" s="37">
        <v>25</v>
      </c>
      <c r="F23" s="272">
        <f>INDEX(rgDéclaration_NbDécl,MATCH(tblMatières[[#This Row],[Matière]],rgDéclaration_Matières,0))</f>
        <v>89</v>
      </c>
      <c r="G23" s="271">
        <f>INT(INDEX(rgDéclaration_QtéFinale,MATCH(tblMatières[[#This Row],[Matière]],rgDéclaration_Matières,0)))</f>
        <v>3577489</v>
      </c>
      <c r="H23" s="271">
        <f>tblMatières[[#This Row],[Quantité attendue net (kg)]]/1000</f>
        <v>3577.489</v>
      </c>
      <c r="I23" s="271">
        <f>tblMatières[[#This Row],[Quantité déclarée (tonnes)]]</f>
        <v>3577.489</v>
      </c>
      <c r="J23" s="271">
        <f>tblMatières[[#This Row],[Quantité générée (tonnes)]]*tblMatières[[#This Row],[% récupération]]</f>
        <v>412.94510310858072</v>
      </c>
      <c r="K23" s="271">
        <f>tblMatières[[#This Row],[Quantité générée (tonnes)]]-tblMatières[[#This Row],[Quantité récupérée (tonnes)]]</f>
        <v>3164.5438968914195</v>
      </c>
      <c r="L23" s="418">
        <f>INDEX(Caractérisation!$C$7:$C$36,MATCH(tblMatières[[#This Row],[Matière]],Caractérisation!$B$7:$B$36,0))</f>
        <v>0.11542875550660833</v>
      </c>
      <c r="M23" s="447">
        <f>INDEX(Paramètres!$C$46:$C$75,MATCH(tblMatières[[#This Row],[Matière]],Paramètres!$B$46:$B$75,0))</f>
        <v>2328.030301847994</v>
      </c>
      <c r="N23" s="447">
        <f>INDEX(Paramètres!$D$46:$D$75,MATCH(tblMatières[[#This Row],[Matière]],Paramètres!$B$46:$B$75,0))</f>
        <v>-23.682716482109601</v>
      </c>
      <c r="O23" s="274">
        <f>tblMatières[[#This Row],[Coût brut]]-tblMatières[[#This Row],[Revenu brut]]</f>
        <v>2351.7130183301038</v>
      </c>
      <c r="P23" s="325">
        <f>INDEX(Paramètres!$E$46:$E$75,MATCH(tblMatières[[#This Row],[Matière]],Paramètres!$B$46:$B$75,0))</f>
        <v>16381.8799430012</v>
      </c>
      <c r="Q23" s="364">
        <f>INDEX('Crédit contenu recyclé'!$F$6:$F$42,MATCH(tblMatières[[#This Row],[Matière]],'Crédit contenu recyclé'!$B$6:$B$42,0))</f>
        <v>0</v>
      </c>
      <c r="R23" s="421">
        <f>INDEX('Facteur 1'!$H$10:$H$46,MATCH(tblMatières[[#This Row],[Matière]],'Facteur 1'!$B$10:$B$46,0))</f>
        <v>734297.46614009549</v>
      </c>
      <c r="S23" s="421">
        <f>INDEX('Facteur 2'!$J$10:$J$46,MATCH(tblMatières[[#This Row],[Matière]],'Facteur 2'!$B$10:$B$46,0))</f>
        <v>636933.84117740509</v>
      </c>
      <c r="T23" s="421">
        <f>INDEX('Facteur 3'!$L$10:$L$46,MATCH(tblMatières[[#This Row],[Matière]],'Facteur 3'!$B$10:$B$46,0))</f>
        <v>2614077.6301559787</v>
      </c>
      <c r="U23" s="421">
        <f>INDEX('Frais de gestion &amp; RQ'!$G$10:$G$46,MATCH(tblMatières[[#This Row],[Matière]],'Frais de gestion &amp; RQ'!$B$10:$B$46,0))</f>
        <v>104193.83071680561</v>
      </c>
      <c r="V23" s="421">
        <f>INDEX('Crédit contenu recyclé'!$J$6:$J$42,MATCH(tblMatières[[#This Row],[Matière]],'Crédit contenu recyclé'!$B$6:$B$42,0))</f>
        <v>0</v>
      </c>
      <c r="W23" s="421">
        <f>INDEX(Paramètres!$F$46:$F$75,MATCH(tblMatières[[#This Row],[Matière]],Paramètres!$B$46:$B$75,0))</f>
        <v>0</v>
      </c>
      <c r="X23" s="325">
        <f>INDEX(rgTarif_TxFinal,MATCH(tblMatières[[#This Row],[Matière]],rgTarif_Matières,0))</f>
        <v>793.43</v>
      </c>
    </row>
    <row r="24" spans="2:24">
      <c r="B24" s="37" t="s">
        <v>4</v>
      </c>
      <c r="C24" s="37" t="s">
        <v>22</v>
      </c>
      <c r="D24" s="37" t="s">
        <v>162</v>
      </c>
      <c r="E24" s="37">
        <v>26</v>
      </c>
      <c r="F24" s="417">
        <f>INDEX(rgDéclaration_NbDécl,MATCH(tblMatières[[#This Row],[Matière]],rgDéclaration_Matières,0))</f>
        <v>160</v>
      </c>
      <c r="G24" s="271">
        <f>INT(INDEX(rgDéclaration_QtéFinale,MATCH(tblMatières[[#This Row],[Matière]],rgDéclaration_Matières,0)))</f>
        <v>1653914</v>
      </c>
      <c r="H24" s="271">
        <f>tblMatières[[#This Row],[Quantité attendue net (kg)]]/1000</f>
        <v>1653.914</v>
      </c>
      <c r="I24" s="271">
        <f>tblMatières[[#This Row],[Quantité déclarée (tonnes)]]</f>
        <v>1653.914</v>
      </c>
      <c r="J24" s="271">
        <f>tblMatières[[#This Row],[Quantité générée (tonnes)]]*tblMatières[[#This Row],[% récupération]]</f>
        <v>620.3989827377784</v>
      </c>
      <c r="K24" s="271">
        <f>tblMatières[[#This Row],[Quantité générée (tonnes)]]-tblMatières[[#This Row],[Quantité récupérée (tonnes)]]</f>
        <v>1033.5150172622216</v>
      </c>
      <c r="L24" s="418">
        <f>INDEX(Caractérisation!$C$7:$C$36,MATCH(tblMatières[[#This Row],[Matière]],Caractérisation!$B$7:$B$36,0))</f>
        <v>0.37510957809038342</v>
      </c>
      <c r="M24" s="447">
        <f>INDEX(Paramètres!$C$46:$C$75,MATCH(tblMatières[[#This Row],[Matière]],Paramètres!$B$46:$B$75,0))</f>
        <v>2328.030301847994</v>
      </c>
      <c r="N24" s="447">
        <f>INDEX(Paramètres!$D$46:$D$75,MATCH(tblMatières[[#This Row],[Matière]],Paramètres!$B$46:$B$75,0))</f>
        <v>-23.682716482109601</v>
      </c>
      <c r="O24" s="274">
        <f>tblMatières[[#This Row],[Coût brut]]-tblMatières[[#This Row],[Revenu brut]]</f>
        <v>2351.7130183301038</v>
      </c>
      <c r="P24" s="325">
        <f>INDEX(Paramètres!$E$46:$E$75,MATCH(tblMatières[[#This Row],[Matière]],Paramètres!$B$46:$B$75,0))</f>
        <v>7573.5300888553074</v>
      </c>
      <c r="Q24" s="364">
        <f>INDEX('Crédit contenu recyclé'!$F$6:$F$42,MATCH(tblMatières[[#This Row],[Matière]],'Crédit contenu recyclé'!$B$6:$B$42,0))</f>
        <v>0</v>
      </c>
      <c r="R24" s="421">
        <f>INDEX('Facteur 1'!$H$10:$H$46,MATCH(tblMatières[[#This Row],[Matière]],'Facteur 1'!$B$10:$B$46,0))</f>
        <v>239815.74695136095</v>
      </c>
      <c r="S24" s="421">
        <f>INDEX('Facteur 2'!$J$10:$J$46,MATCH(tblMatières[[#This Row],[Matière]],'Facteur 2'!$B$10:$B$46,0))</f>
        <v>956914.37957026775</v>
      </c>
      <c r="T24" s="421">
        <f>INDEX('Facteur 3'!$L$10:$L$46,MATCH(tblMatières[[#This Row],[Matière]],'Facteur 3'!$B$10:$B$46,0))</f>
        <v>853737.08663335477</v>
      </c>
      <c r="U24" s="421">
        <f>INDEX('Frais de gestion &amp; RQ'!$G$10:$G$46,MATCH(tblMatières[[#This Row],[Matière]],'Frais de gestion &amp; RQ'!$B$10:$B$46,0))</f>
        <v>48169.997262368895</v>
      </c>
      <c r="V24" s="421">
        <f>INDEX('Crédit contenu recyclé'!$J$6:$J$42,MATCH(tblMatières[[#This Row],[Matière]],'Crédit contenu recyclé'!$B$6:$B$42,0))</f>
        <v>0</v>
      </c>
      <c r="W24" s="421">
        <f>INDEX(Paramètres!$F$46:$F$75,MATCH(tblMatières[[#This Row],[Matière]],Paramètres!$B$46:$B$75,0))</f>
        <v>0</v>
      </c>
      <c r="X24" s="325">
        <f>INDEX(rgTarif_TxFinal,MATCH(tblMatières[[#This Row],[Matière]],rgTarif_Matières,0))</f>
        <v>793.43</v>
      </c>
    </row>
    <row r="25" spans="2:24">
      <c r="B25" s="37" t="s">
        <v>4</v>
      </c>
      <c r="C25" s="37" t="s">
        <v>22</v>
      </c>
      <c r="D25" s="37" t="s">
        <v>27</v>
      </c>
      <c r="E25" s="37">
        <v>27</v>
      </c>
      <c r="F25" s="272">
        <f>INDEX(rgDéclaration_NbDécl,MATCH(tblMatières[[#This Row],[Matière]],rgDéclaration_Matières,0))</f>
        <v>182</v>
      </c>
      <c r="G25" s="271">
        <f>INT(INDEX(rgDéclaration_QtéFinale,MATCH(tblMatières[[#This Row],[Matière]],rgDéclaration_Matières,0)))</f>
        <v>4424247</v>
      </c>
      <c r="H25" s="271">
        <f>tblMatières[[#This Row],[Quantité attendue net (kg)]]/1000</f>
        <v>4424.2470000000003</v>
      </c>
      <c r="I25" s="271">
        <f>tblMatières[[#This Row],[Quantité déclarée (tonnes)]]</f>
        <v>4424.2470000000003</v>
      </c>
      <c r="J25" s="271">
        <f>tblMatières[[#This Row],[Quantité générée (tonnes)]]*tblMatières[[#This Row],[% récupération]]</f>
        <v>1100.7673069345703</v>
      </c>
      <c r="K25" s="271">
        <f>tblMatières[[#This Row],[Quantité générée (tonnes)]]-tblMatières[[#This Row],[Quantité récupérée (tonnes)]]</f>
        <v>3323.4796930654302</v>
      </c>
      <c r="L25" s="418">
        <f>INDEX(Caractérisation!$C$7:$C$36,MATCH(tblMatières[[#This Row],[Matière]],Caractérisation!$B$7:$B$36,0))</f>
        <v>0.24880331205164863</v>
      </c>
      <c r="M25" s="447">
        <f>INDEX(Paramètres!$C$46:$C$75,MATCH(tblMatières[[#This Row],[Matière]],Paramètres!$B$46:$B$75,0))</f>
        <v>447.53303645025329</v>
      </c>
      <c r="N25" s="447">
        <f>INDEX(Paramètres!$D$46:$D$75,MATCH(tblMatières[[#This Row],[Matière]],Paramètres!$B$46:$B$75,0))</f>
        <v>9.3037188833314417</v>
      </c>
      <c r="O25" s="274">
        <f>tblMatières[[#This Row],[Coût brut]]-tblMatières[[#This Row],[Revenu brut]]</f>
        <v>438.22931756692185</v>
      </c>
      <c r="P25" s="325">
        <f>INDEX(Paramètres!$E$46:$E$75,MATCH(tblMatières[[#This Row],[Matière]],Paramètres!$B$46:$B$75,0))</f>
        <v>20259.31685385566</v>
      </c>
      <c r="Q25" s="364">
        <f>INDEX('Crédit contenu recyclé'!$F$6:$F$42,MATCH(tblMatières[[#This Row],[Matière]],'Crédit contenu recyclé'!$B$6:$B$42,0))</f>
        <v>0</v>
      </c>
      <c r="R25" s="421">
        <f>INDEX('Facteur 1'!$H$10:$H$46,MATCH(tblMatières[[#This Row],[Matière]],'Facteur 1'!$B$10:$B$46,0))</f>
        <v>771176.76256071927</v>
      </c>
      <c r="S25" s="421">
        <f>INDEX('Facteur 2'!$J$10:$J$46,MATCH(tblMatières[[#This Row],[Matière]],'Facteur 2'!$B$10:$B$46,0))</f>
        <v>316384.08664414787</v>
      </c>
      <c r="T25" s="421">
        <f>INDEX('Facteur 3'!$L$10:$L$46,MATCH(tblMatières[[#This Row],[Matière]],'Facteur 3'!$B$10:$B$46,0))</f>
        <v>511584.6334808502</v>
      </c>
      <c r="U25" s="421">
        <f>INDEX('Frais de gestion &amp; RQ'!$G$10:$G$46,MATCH(tblMatières[[#This Row],[Matière]],'Frais de gestion &amp; RQ'!$B$10:$B$46,0))</f>
        <v>128855.53050403093</v>
      </c>
      <c r="V25" s="421">
        <f>INDEX('Crédit contenu recyclé'!$J$6:$J$42,MATCH(tblMatières[[#This Row],[Matière]],'Crédit contenu recyclé'!$B$6:$B$42,0))</f>
        <v>0</v>
      </c>
      <c r="W25" s="421">
        <f>INDEX(Paramètres!$F$46:$F$75,MATCH(tblMatières[[#This Row],[Matière]],Paramètres!$B$46:$B$75,0))</f>
        <v>0</v>
      </c>
      <c r="X25" s="325">
        <f>INDEX(rgTarif_TxFinal,MATCH(tblMatières[[#This Row],[Matière]],rgTarif_Matières,0))</f>
        <v>793.43</v>
      </c>
    </row>
    <row r="26" spans="2:24">
      <c r="B26" s="37" t="s">
        <v>4</v>
      </c>
      <c r="C26" s="37" t="s">
        <v>22</v>
      </c>
      <c r="D26" s="37" t="s">
        <v>129</v>
      </c>
      <c r="E26" s="37">
        <v>28</v>
      </c>
      <c r="F26" s="272">
        <f>INDEX(rgDéclaration_NbDécl,MATCH(tblMatières[[#This Row],[Matière]],rgDéclaration_Matières,0))</f>
        <v>173</v>
      </c>
      <c r="G26" s="271">
        <f>INT(INDEX(rgDéclaration_QtéFinale,MATCH(tblMatières[[#This Row],[Matière]],rgDéclaration_Matières,0)))</f>
        <v>7889152</v>
      </c>
      <c r="H26" s="271">
        <f>tblMatières[[#This Row],[Quantité attendue net (kg)]]/1000</f>
        <v>7889.152</v>
      </c>
      <c r="I26" s="271">
        <f>tblMatières[[#This Row],[Quantité déclarée (tonnes)]]</f>
        <v>7889.152</v>
      </c>
      <c r="J26" s="271">
        <f>tblMatières[[#This Row],[Quantité générée (tonnes)]]*tblMatières[[#This Row],[% récupération]]</f>
        <v>4517.3086635484415</v>
      </c>
      <c r="K26" s="271">
        <f>tblMatières[[#This Row],[Quantité générée (tonnes)]]-tblMatières[[#This Row],[Quantité récupérée (tonnes)]]</f>
        <v>3371.8433364515586</v>
      </c>
      <c r="L26" s="418">
        <f>INDEX(Caractérisation!$C$7:$C$36,MATCH(tblMatières[[#This Row],[Matière]],Caractérisation!$B$7:$B$36,0))</f>
        <v>0.57259749381789593</v>
      </c>
      <c r="M26" s="447">
        <f>INDEX(Paramètres!$C$46:$C$75,MATCH(tblMatières[[#This Row],[Matière]],Paramètres!$B$46:$B$75,0))</f>
        <v>425.60489155507349</v>
      </c>
      <c r="N26" s="447">
        <f>INDEX(Paramètres!$D$46:$D$75,MATCH(tblMatières[[#This Row],[Matière]],Paramètres!$B$46:$B$75,0))</f>
        <v>34.980630600158555</v>
      </c>
      <c r="O26" s="274">
        <f>tblMatières[[#This Row],[Coût brut]]-tblMatières[[#This Row],[Revenu brut]]</f>
        <v>390.62426095491492</v>
      </c>
      <c r="P26" s="325">
        <f>INDEX(Paramètres!$E$46:$E$75,MATCH(tblMatières[[#This Row],[Matière]],Paramètres!$B$46:$B$75,0))</f>
        <v>36125.657106447514</v>
      </c>
      <c r="Q26" s="364">
        <f>INDEX('Crédit contenu recyclé'!$F$6:$F$42,MATCH(tblMatières[[#This Row],[Matière]],'Crédit contenu recyclé'!$B$6:$B$42,0))</f>
        <v>7.4999999999999997E-2</v>
      </c>
      <c r="R26" s="421">
        <f>INDEX('Facteur 1'!$H$10:$H$46,MATCH(tblMatières[[#This Row],[Matière]],'Facteur 1'!$B$10:$B$46,0))</f>
        <v>782399.01194288849</v>
      </c>
      <c r="S26" s="421">
        <f>INDEX('Facteur 2'!$J$10:$J$46,MATCH(tblMatières[[#This Row],[Matière]],'Facteur 2'!$B$10:$B$46,0))</f>
        <v>1157328.5318413556</v>
      </c>
      <c r="T26" s="421">
        <f>INDEX('Facteur 3'!$L$10:$L$46,MATCH(tblMatières[[#This Row],[Matière]],'Facteur 3'!$B$10:$B$46,0))</f>
        <v>462646.87619472574</v>
      </c>
      <c r="U26" s="421">
        <f>INDEX('Frais de gestion &amp; RQ'!$G$10:$G$46,MATCH(tblMatières[[#This Row],[Matière]],'Frais de gestion &amp; RQ'!$B$10:$B$46,0))</f>
        <v>229770.36910166556</v>
      </c>
      <c r="V26" s="421">
        <f>INDEX('Crédit contenu recyclé'!$J$6:$J$42,MATCH(tblMatières[[#This Row],[Matière]],'Crédit contenu recyclé'!$B$6:$B$42,0))</f>
        <v>33774.822509563775</v>
      </c>
      <c r="W26" s="421">
        <f>INDEX(Paramètres!$F$46:$F$75,MATCH(tblMatières[[#This Row],[Matière]],Paramètres!$B$46:$B$75,0))</f>
        <v>0</v>
      </c>
      <c r="X26" s="325">
        <f>INDEX(rgTarif_TxFinal,MATCH(tblMatières[[#This Row],[Matière]],rgTarif_Matières,0))</f>
        <v>285.41000000000003</v>
      </c>
    </row>
    <row r="27" spans="2:24">
      <c r="B27" s="37" t="s">
        <v>4</v>
      </c>
      <c r="C27" s="37" t="s">
        <v>22</v>
      </c>
      <c r="D27" s="37" t="s">
        <v>217</v>
      </c>
      <c r="E27" s="37">
        <v>29</v>
      </c>
      <c r="F27" s="272">
        <f>INDEX(rgDéclaration_NbDécl,MATCH(tblMatières[[#This Row],[Matière]],rgDéclaration_Matières,0))</f>
        <v>78</v>
      </c>
      <c r="G27" s="271">
        <f>INT(INDEX(rgDéclaration_QtéFinale,MATCH(tblMatières[[#This Row],[Matière]],rgDéclaration_Matières,0)))</f>
        <v>491197</v>
      </c>
      <c r="H27" s="271">
        <f>tblMatières[[#This Row],[Quantité attendue net (kg)]]/1000</f>
        <v>491.197</v>
      </c>
      <c r="I27" s="271">
        <f>tblMatières[[#This Row],[Quantité déclarée (tonnes)]]</f>
        <v>491.197</v>
      </c>
      <c r="J27" s="271">
        <f>tblMatières[[#This Row],[Quantité générée (tonnes)]]*tblMatières[[#This Row],[% récupération]]</f>
        <v>268.19356200000004</v>
      </c>
      <c r="K27" s="271">
        <f>tblMatières[[#This Row],[Quantité générée (tonnes)]]-tblMatières[[#This Row],[Quantité récupérée (tonnes)]]</f>
        <v>223.00343799999996</v>
      </c>
      <c r="L27" s="418">
        <f>INDEX(Caractérisation!$C$7:$C$36,MATCH(tblMatières[[#This Row],[Matière]],Caractérisation!$B$7:$B$36,0))</f>
        <v>0.54600000000000004</v>
      </c>
      <c r="M27" s="447">
        <f>INDEX(Paramètres!$C$46:$C$75,MATCH(tblMatières[[#This Row],[Matière]],Paramètres!$B$46:$B$75,0))</f>
        <v>407.25991279958509</v>
      </c>
      <c r="N27" s="447">
        <f>INDEX(Paramètres!$D$46:$D$75,MATCH(tblMatières[[#This Row],[Matière]],Paramètres!$B$46:$B$75,0))</f>
        <v>137.21267029489488</v>
      </c>
      <c r="O27" s="274">
        <f>tblMatières[[#This Row],[Coût brut]]-tblMatières[[#This Row],[Revenu brut]]</f>
        <v>270.04724250469019</v>
      </c>
      <c r="P27" s="325">
        <f>INDEX(Paramètres!$E$46:$E$75,MATCH(tblMatières[[#This Row],[Matière]],Paramètres!$B$46:$B$75,0))</f>
        <v>2249.2676517977725</v>
      </c>
      <c r="Q27" s="364">
        <f>INDEX('Crédit contenu recyclé'!$F$6:$F$42,MATCH(tblMatières[[#This Row],[Matière]],'Crédit contenu recyclé'!$B$6:$B$42,0))</f>
        <v>0</v>
      </c>
      <c r="R27" s="421">
        <f>INDEX('Facteur 1'!$H$10:$H$46,MATCH(tblMatières[[#This Row],[Matière]],'Facteur 1'!$B$10:$B$46,0))</f>
        <v>51745.485226096833</v>
      </c>
      <c r="S27" s="421">
        <f>INDEX('Facteur 2'!$J$10:$J$46,MATCH(tblMatières[[#This Row],[Matière]],'Facteur 2'!$B$10:$B$46,0))</f>
        <v>47501.330670447445</v>
      </c>
      <c r="T27" s="421">
        <f>INDEX('Facteur 3'!$L$10:$L$46,MATCH(tblMatières[[#This Row],[Matière]],'Facteur 3'!$B$10:$B$46,0))</f>
        <v>21153.11539306894</v>
      </c>
      <c r="U27" s="421">
        <f>INDEX('Frais de gestion &amp; RQ'!$G$10:$G$46,MATCH(tblMatières[[#This Row],[Matière]],'Frais de gestion &amp; RQ'!$B$10:$B$46,0))</f>
        <v>14306.038974991332</v>
      </c>
      <c r="V27" s="421">
        <f>INDEX('Crédit contenu recyclé'!$J$6:$J$42,MATCH(tblMatières[[#This Row],[Matière]],'Crédit contenu recyclé'!$B$6:$B$42,0))</f>
        <v>0</v>
      </c>
      <c r="W27" s="421">
        <f>INDEX(Paramètres!$F$46:$F$75,MATCH(tblMatières[[#This Row],[Matière]],Paramètres!$B$46:$B$75,0))</f>
        <v>0</v>
      </c>
      <c r="X27" s="325">
        <f>INDEX(rgTarif_TxFinal,MATCH(tblMatières[[#This Row],[Matière]],rgTarif_Matières,0))</f>
        <v>793.43</v>
      </c>
    </row>
    <row r="28" spans="2:24">
      <c r="B28" s="37" t="s">
        <v>4</v>
      </c>
      <c r="C28" s="37" t="s">
        <v>22</v>
      </c>
      <c r="D28" s="37" t="s">
        <v>28</v>
      </c>
      <c r="E28" s="37">
        <v>30</v>
      </c>
      <c r="F28" s="272">
        <f>INDEX(rgDéclaration_NbDécl,MATCH(tblMatières[[#This Row],[Matière]],rgDéclaration_Matières,0))</f>
        <v>583</v>
      </c>
      <c r="G28" s="271">
        <f>INT(INDEX(rgDéclaration_QtéFinale,MATCH(tblMatières[[#This Row],[Matière]],rgDéclaration_Matières,0)))</f>
        <v>33909736</v>
      </c>
      <c r="H28" s="271">
        <f>tblMatières[[#This Row],[Quantité attendue net (kg)]]/1000</f>
        <v>33909.735999999997</v>
      </c>
      <c r="I28" s="271">
        <f>tblMatières[[#This Row],[Quantité déclarée (tonnes)]]</f>
        <v>33909.735999999997</v>
      </c>
      <c r="J28" s="271">
        <f>tblMatières[[#This Row],[Quantité générée (tonnes)]]*tblMatières[[#This Row],[% récupération]]</f>
        <v>14808.56401630154</v>
      </c>
      <c r="K28" s="271">
        <f>tblMatières[[#This Row],[Quantité générée (tonnes)]]-tblMatières[[#This Row],[Quantité récupérée (tonnes)]]</f>
        <v>19101.171983698456</v>
      </c>
      <c r="L28" s="418">
        <f>INDEX(Caractérisation!$C$7:$C$36,MATCH(tblMatières[[#This Row],[Matière]],Caractérisation!$B$7:$B$36,0))</f>
        <v>0.43670537618758049</v>
      </c>
      <c r="M28" s="447">
        <f>INDEX(Paramètres!$C$46:$C$75,MATCH(tblMatières[[#This Row],[Matière]],Paramètres!$B$46:$B$75,0))</f>
        <v>379.75720829472294</v>
      </c>
      <c r="N28" s="447">
        <f>INDEX(Paramètres!$D$46:$D$75,MATCH(tblMatières[[#This Row],[Matière]],Paramètres!$B$46:$B$75,0))</f>
        <v>114.32903281974974</v>
      </c>
      <c r="O28" s="274">
        <f>tblMatières[[#This Row],[Coût brut]]-tblMatières[[#This Row],[Revenu brut]]</f>
        <v>265.42817547497322</v>
      </c>
      <c r="P28" s="325">
        <f>INDEX(Paramètres!$E$46:$E$75,MATCH(tblMatières[[#This Row],[Matière]],Paramètres!$B$46:$B$75,0))</f>
        <v>155277.96844403035</v>
      </c>
      <c r="Q28" s="364">
        <f>INDEX('Crédit contenu recyclé'!$F$6:$F$42,MATCH(tblMatières[[#This Row],[Matière]],'Crédit contenu recyclé'!$B$6:$B$42,0))</f>
        <v>0</v>
      </c>
      <c r="R28" s="421">
        <f>INDEX('Facteur 1'!$H$10:$H$46,MATCH(tblMatières[[#This Row],[Matière]],'Facteur 1'!$B$10:$B$46,0))</f>
        <v>4432216.0301564643</v>
      </c>
      <c r="S28" s="421">
        <f>INDEX('Facteur 2'!$J$10:$J$46,MATCH(tblMatières[[#This Row],[Matière]],'Facteur 2'!$B$10:$B$46,0))</f>
        <v>2577968.7547286157</v>
      </c>
      <c r="T28" s="421">
        <f>INDEX('Facteur 3'!$L$10:$L$46,MATCH(tblMatières[[#This Row],[Matière]],'Facteur 3'!$B$10:$B$46,0))</f>
        <v>1780861.1908334985</v>
      </c>
      <c r="U28" s="421">
        <f>INDEX('Frais de gestion &amp; RQ'!$G$10:$G$46,MATCH(tblMatières[[#This Row],[Matière]],'Frais de gestion &amp; RQ'!$B$10:$B$46,0))</f>
        <v>987615.9765789829</v>
      </c>
      <c r="V28" s="421">
        <f>INDEX('Crédit contenu recyclé'!$J$6:$J$42,MATCH(tblMatières[[#This Row],[Matière]],'Crédit contenu recyclé'!$B$6:$B$42,0))</f>
        <v>0</v>
      </c>
      <c r="W28" s="421">
        <f>INDEX(Paramètres!$F$46:$F$75,MATCH(tblMatières[[#This Row],[Matière]],Paramètres!$B$46:$B$75,0))</f>
        <v>0</v>
      </c>
      <c r="X28" s="325">
        <f>INDEX(rgTarif_TxFinal,MATCH(tblMatières[[#This Row],[Matière]],rgTarif_Matières,0))</f>
        <v>288.37</v>
      </c>
    </row>
    <row r="29" spans="2:24">
      <c r="B29" s="37" t="s">
        <v>4</v>
      </c>
      <c r="C29" s="37" t="s">
        <v>39</v>
      </c>
      <c r="D29" s="37" t="s">
        <v>202</v>
      </c>
      <c r="E29" s="37">
        <v>40</v>
      </c>
      <c r="F29" s="272">
        <f>INDEX(rgDéclaration_NbDécl,MATCH(tblMatières[[#This Row],[Matière]],rgDéclaration_Matières,0))</f>
        <v>88</v>
      </c>
      <c r="G29" s="271">
        <f>INT(INDEX(rgDéclaration_QtéFinale,MATCH(tblMatières[[#This Row],[Matière]],rgDéclaration_Matières,0)))</f>
        <v>2854957</v>
      </c>
      <c r="H29" s="271">
        <f>tblMatières[[#This Row],[Quantité attendue net (kg)]]/1000</f>
        <v>2854.9569999999999</v>
      </c>
      <c r="I29" s="271">
        <f>tblMatières[[#This Row],[Quantité déclarée (tonnes)]]</f>
        <v>2854.9569999999999</v>
      </c>
      <c r="J29" s="271">
        <f>tblMatières[[#This Row],[Quantité générée (tonnes)]]*tblMatières[[#This Row],[% récupération]]</f>
        <v>1376.4950426958128</v>
      </c>
      <c r="K29" s="271">
        <f>tblMatières[[#This Row],[Quantité générée (tonnes)]]-tblMatières[[#This Row],[Quantité récupérée (tonnes)]]</f>
        <v>1478.4619573041871</v>
      </c>
      <c r="L29" s="418">
        <f>INDEX(Caractérisation!$C$7:$C$36,MATCH(tblMatières[[#This Row],[Matière]],Caractérisation!$B$7:$B$36,0))</f>
        <v>0.48214212777839133</v>
      </c>
      <c r="M29" s="447">
        <f>INDEX(Paramètres!$C$46:$C$75,MATCH(tblMatières[[#This Row],[Matière]],Paramètres!$B$46:$B$75,0))</f>
        <v>456.02053351126233</v>
      </c>
      <c r="N29" s="447">
        <f>INDEX(Paramètres!$D$46:$D$75,MATCH(tblMatières[[#This Row],[Matière]],Paramètres!$B$46:$B$75,0))</f>
        <v>639.0319910388497</v>
      </c>
      <c r="O29" s="274">
        <f>tblMatières[[#This Row],[Coût brut]]-tblMatières[[#This Row],[Revenu brut]]</f>
        <v>-183.01145752758737</v>
      </c>
      <c r="P29" s="325">
        <f>INDEX(Paramètres!$E$46:$E$75,MATCH(tblMatières[[#This Row],[Matière]],Paramètres!$B$46:$B$75,0))</f>
        <v>12413.92059538297</v>
      </c>
      <c r="Q29" s="364">
        <f>INDEX('Crédit contenu recyclé'!$F$6:$F$42,MATCH(tblMatières[[#This Row],[Matière]],'Crédit contenu recyclé'!$B$6:$B$42,0))</f>
        <v>0</v>
      </c>
      <c r="R29" s="421">
        <f>INDEX('Facteur 1'!$H$10:$H$46,MATCH(tblMatières[[#This Row],[Matière]],'Facteur 1'!$B$10:$B$46,0))</f>
        <v>343060.77096905583</v>
      </c>
      <c r="S29" s="421">
        <f>INDEX('Facteur 2'!$J$10:$J$46,MATCH(tblMatières[[#This Row],[Matière]],'Facteur 2'!$B$10:$B$46,0))</f>
        <v>-165223.04125333962</v>
      </c>
      <c r="T29" s="421">
        <f>INDEX('Facteur 3'!$L$10:$L$46,MATCH(tblMatières[[#This Row],[Matière]],'Facteur 3'!$B$10:$B$46,0))</f>
        <v>0</v>
      </c>
      <c r="U29" s="421">
        <f>INDEX('Frais de gestion &amp; RQ'!$G$10:$G$46,MATCH(tblMatières[[#This Row],[Matière]],'Frais de gestion &amp; RQ'!$B$10:$B$46,0))</f>
        <v>78956.380192482073</v>
      </c>
      <c r="V29" s="421">
        <f>INDEX('Crédit contenu recyclé'!$J$6:$J$42,MATCH(tblMatières[[#This Row],[Matière]],'Crédit contenu recyclé'!$B$6:$B$42,0))</f>
        <v>0</v>
      </c>
      <c r="W29" s="421">
        <f>INDEX(Paramètres!$F$46:$F$75,MATCH(tblMatières[[#This Row],[Matière]],Paramètres!$B$46:$B$75,0))</f>
        <v>0</v>
      </c>
      <c r="X29" s="325">
        <f>INDEX(rgTarif_TxFinal,MATCH(tblMatières[[#This Row],[Matière]],rgTarif_Matières,0))</f>
        <v>181.44</v>
      </c>
    </row>
    <row r="30" spans="2:24">
      <c r="B30" s="37" t="s">
        <v>4</v>
      </c>
      <c r="C30" s="37" t="s">
        <v>39</v>
      </c>
      <c r="D30" s="37" t="s">
        <v>21</v>
      </c>
      <c r="E30" s="37">
        <v>41</v>
      </c>
      <c r="F30" s="272">
        <f>INDEX(rgDéclaration_NbDécl,MATCH(tblMatières[[#This Row],[Matière]],rgDéclaration_Matières,0))</f>
        <v>230</v>
      </c>
      <c r="G30" s="271">
        <f>INT(INDEX(rgDéclaration_QtéFinale,MATCH(tblMatières[[#This Row],[Matière]],rgDéclaration_Matières,0)))</f>
        <v>4823938</v>
      </c>
      <c r="H30" s="271">
        <f>tblMatières[[#This Row],[Quantité attendue net (kg)]]/1000</f>
        <v>4823.9380000000001</v>
      </c>
      <c r="I30" s="271">
        <f>tblMatières[[#This Row],[Quantité déclarée (tonnes)]]</f>
        <v>4823.9380000000001</v>
      </c>
      <c r="J30" s="271">
        <f>tblMatières[[#This Row],[Quantité générée (tonnes)]]*tblMatières[[#This Row],[% récupération]]</f>
        <v>483.96942592726941</v>
      </c>
      <c r="K30" s="271">
        <f>tblMatières[[#This Row],[Quantité générée (tonnes)]]-tblMatières[[#This Row],[Quantité récupérée (tonnes)]]</f>
        <v>4339.9685740727309</v>
      </c>
      <c r="L30" s="418">
        <f>INDEX(Caractérisation!$C$7:$C$36,MATCH(tblMatières[[#This Row],[Matière]],Caractérisation!$B$7:$B$36,0))</f>
        <v>0.10032662648799993</v>
      </c>
      <c r="M30" s="447">
        <f>INDEX(Paramètres!$C$46:$C$75,MATCH(tblMatières[[#This Row],[Matière]],Paramètres!$B$46:$B$75,0))</f>
        <v>424.40232543120288</v>
      </c>
      <c r="N30" s="447">
        <f>INDEX(Paramètres!$D$46:$D$75,MATCH(tblMatières[[#This Row],[Matière]],Paramètres!$B$46:$B$75,0))</f>
        <v>436.91756452611196</v>
      </c>
      <c r="O30" s="274">
        <f>tblMatières[[#This Row],[Coût brut]]-tblMatières[[#This Row],[Revenu brut]]</f>
        <v>-12.515239094909077</v>
      </c>
      <c r="P30" s="325">
        <f>INDEX(Paramètres!$E$46:$E$75,MATCH(tblMatières[[#This Row],[Matière]],Paramètres!$B$46:$B$75,0))</f>
        <v>20975.441412620414</v>
      </c>
      <c r="Q30" s="364">
        <f>INDEX('Crédit contenu recyclé'!$F$6:$F$42,MATCH(tblMatières[[#This Row],[Matière]],'Crédit contenu recyclé'!$B$6:$B$42,0))</f>
        <v>0</v>
      </c>
      <c r="R30" s="421">
        <f>INDEX('Facteur 1'!$H$10:$H$46,MATCH(tblMatières[[#This Row],[Matière]],'Facteur 1'!$B$10:$B$46,0))</f>
        <v>1007041.7826087734</v>
      </c>
      <c r="S30" s="421">
        <f>INDEX('Facteur 2'!$J$10:$J$46,MATCH(tblMatières[[#This Row],[Matière]],'Facteur 2'!$B$10:$B$46,0))</f>
        <v>-3972.5992654140168</v>
      </c>
      <c r="T30" s="421">
        <f>INDEX('Facteur 3'!$L$10:$L$46,MATCH(tblMatières[[#This Row],[Matière]],'Facteur 3'!$B$10:$B$46,0))</f>
        <v>0</v>
      </c>
      <c r="U30" s="421">
        <f>INDEX('Frais de gestion &amp; RQ'!$G$10:$G$46,MATCH(tblMatières[[#This Row],[Matière]],'Frais de gestion &amp; RQ'!$B$10:$B$46,0))</f>
        <v>133410.30451700732</v>
      </c>
      <c r="V30" s="421">
        <f>INDEX('Crédit contenu recyclé'!$J$6:$J$42,MATCH(tblMatières[[#This Row],[Matière]],'Crédit contenu recyclé'!$B$6:$B$42,0))</f>
        <v>0</v>
      </c>
      <c r="W30" s="421">
        <f>INDEX(Paramètres!$F$46:$F$75,MATCH(tblMatières[[#This Row],[Matière]],Paramètres!$B$46:$B$75,0))</f>
        <v>0</v>
      </c>
      <c r="X30" s="325">
        <f>INDEX(rgTarif_TxFinal,MATCH(tblMatières[[#This Row],[Matière]],rgTarif_Matières,0))</f>
        <v>181.44</v>
      </c>
    </row>
    <row r="31" spans="2:24">
      <c r="B31" s="37" t="s">
        <v>4</v>
      </c>
      <c r="C31" s="37" t="s">
        <v>38</v>
      </c>
      <c r="D31" s="37" t="s">
        <v>201</v>
      </c>
      <c r="E31" s="37">
        <v>50</v>
      </c>
      <c r="F31" s="272">
        <f>INDEX(rgDéclaration_NbDécl,MATCH(tblMatières[[#This Row],[Matière]],rgDéclaration_Matières,0))</f>
        <v>98</v>
      </c>
      <c r="G31" s="271">
        <f>INT(INDEX(rgDéclaration_QtéFinale,MATCH(tblMatières[[#This Row],[Matière]],rgDéclaration_Matières,0)))</f>
        <v>2430778</v>
      </c>
      <c r="H31" s="271">
        <f>tblMatières[[#This Row],[Quantité attendue net (kg)]]/1000</f>
        <v>2430.7779999999998</v>
      </c>
      <c r="I31" s="271">
        <f>tblMatières[[#This Row],[Quantité déclarée (tonnes)]]</f>
        <v>2430.7779999999998</v>
      </c>
      <c r="J31" s="271">
        <f>tblMatières[[#This Row],[Quantité générée (tonnes)]]*tblMatières[[#This Row],[% récupération]]</f>
        <v>426.11538339999998</v>
      </c>
      <c r="K31" s="271">
        <f>tblMatières[[#This Row],[Quantité générée (tonnes)]]-tblMatières[[#This Row],[Quantité récupérée (tonnes)]]</f>
        <v>2004.6626165999999</v>
      </c>
      <c r="L31" s="418">
        <f>INDEX(Caractérisation!$C$7:$C$36,MATCH(tblMatières[[#This Row],[Matière]],Caractérisation!$B$7:$B$36,0))</f>
        <v>0.17530000000000001</v>
      </c>
      <c r="M31" s="447">
        <f>INDEX(Paramètres!$C$46:$C$75,MATCH(tblMatières[[#This Row],[Matière]],Paramètres!$B$46:$B$75,0))</f>
        <v>243.48742625638928</v>
      </c>
      <c r="N31" s="447">
        <f>INDEX(Paramètres!$D$46:$D$75,MATCH(tblMatières[[#This Row],[Matière]],Paramètres!$B$46:$B$75,0))</f>
        <v>190.5970718234482</v>
      </c>
      <c r="O31" s="274">
        <f>tblMatières[[#This Row],[Coût brut]]-tblMatières[[#This Row],[Revenu brut]]</f>
        <v>52.890354432941081</v>
      </c>
      <c r="P31" s="325">
        <f>INDEX(Paramètres!$E$46:$E$75,MATCH(tblMatières[[#This Row],[Matière]],Paramètres!$B$46:$B$75,0))</f>
        <v>10569.505977499422</v>
      </c>
      <c r="Q31" s="364">
        <f>INDEX('Crédit contenu recyclé'!$F$6:$F$42,MATCH(tblMatières[[#This Row],[Matière]],'Crédit contenu recyclé'!$B$6:$B$42,0))</f>
        <v>0</v>
      </c>
      <c r="R31" s="421">
        <f>INDEX('Facteur 1'!$H$10:$H$46,MATCH(tblMatières[[#This Row],[Matière]],'Facteur 1'!$B$10:$B$46,0))</f>
        <v>465159.82327852689</v>
      </c>
      <c r="S31" s="421">
        <f>INDEX('Facteur 2'!$J$10:$J$46,MATCH(tblMatières[[#This Row],[Matière]],'Facteur 2'!$B$10:$B$46,0))</f>
        <v>14781.597453301267</v>
      </c>
      <c r="T31" s="421">
        <f>INDEX('Facteur 3'!$L$10:$L$46,MATCH(tblMatières[[#This Row],[Matière]],'Facteur 3'!$B$10:$B$46,0))</f>
        <v>37242.669412977943</v>
      </c>
      <c r="U31" s="421">
        <f>INDEX('Frais de gestion &amp; RQ'!$G$10:$G$46,MATCH(tblMatières[[#This Row],[Matière]],'Frais de gestion &amp; RQ'!$B$10:$B$46,0))</f>
        <v>67225.331916214927</v>
      </c>
      <c r="V31" s="421">
        <f>INDEX('Crédit contenu recyclé'!$J$6:$J$42,MATCH(tblMatières[[#This Row],[Matière]],'Crédit contenu recyclé'!$B$6:$B$42,0))</f>
        <v>0</v>
      </c>
      <c r="W31" s="421">
        <f>INDEX(Paramètres!$F$46:$F$75,MATCH(tblMatières[[#This Row],[Matière]],Paramètres!$B$46:$B$75,0))</f>
        <v>0</v>
      </c>
      <c r="X31" s="325">
        <f>INDEX(rgTarif_TxFinal,MATCH(tblMatières[[#This Row],[Matière]],rgTarif_Matières,0))</f>
        <v>173.22</v>
      </c>
    </row>
    <row r="32" spans="2:24">
      <c r="B32" s="37" t="s">
        <v>4</v>
      </c>
      <c r="C32" s="37" t="s">
        <v>38</v>
      </c>
      <c r="D32" s="37" t="s">
        <v>20</v>
      </c>
      <c r="E32" s="37">
        <v>51</v>
      </c>
      <c r="F32" s="272">
        <f>INDEX(rgDéclaration_NbDécl,MATCH(tblMatières[[#This Row],[Matière]],rgDéclaration_Matières,0))</f>
        <v>209</v>
      </c>
      <c r="G32" s="271">
        <f>INT(INDEX(rgDéclaration_QtéFinale,MATCH(tblMatières[[#This Row],[Matière]],rgDéclaration_Matières,0)))</f>
        <v>23510151</v>
      </c>
      <c r="H32" s="271">
        <f>tblMatières[[#This Row],[Quantité attendue net (kg)]]/1000</f>
        <v>23510.151000000002</v>
      </c>
      <c r="I32" s="271">
        <f>tblMatières[[#This Row],[Quantité déclarée (tonnes)]]</f>
        <v>23510.151000000002</v>
      </c>
      <c r="J32" s="271">
        <f>tblMatières[[#This Row],[Quantité générée (tonnes)]]*tblMatières[[#This Row],[% récupération]]</f>
        <v>15248.302927500676</v>
      </c>
      <c r="K32" s="271">
        <f>tblMatières[[#This Row],[Quantité générée (tonnes)]]-tblMatières[[#This Row],[Quantité récupérée (tonnes)]]</f>
        <v>8261.848072499326</v>
      </c>
      <c r="L32" s="418">
        <f>INDEX(Caractérisation!$C$7:$C$36,MATCH(tblMatières[[#This Row],[Matière]],Caractérisation!$B$7:$B$36,0))</f>
        <v>0.64858379376213593</v>
      </c>
      <c r="M32" s="447">
        <f>INDEX(Paramètres!$C$46:$C$75,MATCH(tblMatières[[#This Row],[Matière]],Paramètres!$B$46:$B$75,0))</f>
        <v>274.70098422097146</v>
      </c>
      <c r="N32" s="447">
        <f>INDEX(Paramètres!$D$46:$D$75,MATCH(tblMatières[[#This Row],[Matière]],Paramètres!$B$46:$B$75,0))</f>
        <v>170.7123124504144</v>
      </c>
      <c r="O32" s="274">
        <f>tblMatières[[#This Row],[Coût brut]]-tblMatières[[#This Row],[Revenu brut]]</f>
        <v>103.98867177055706</v>
      </c>
      <c r="P32" s="325">
        <f>INDEX(Paramètres!$E$46:$E$75,MATCH(tblMatières[[#This Row],[Matière]],Paramètres!$B$46:$B$75,0))</f>
        <v>102226.81031604452</v>
      </c>
      <c r="Q32" s="364">
        <f>INDEX('Crédit contenu recyclé'!$F$6:$F$42,MATCH(tblMatières[[#This Row],[Matière]],'Crédit contenu recyclé'!$B$6:$B$42,0))</f>
        <v>0</v>
      </c>
      <c r="R32" s="421">
        <f>INDEX('Facteur 1'!$H$10:$H$46,MATCH(tblMatières[[#This Row],[Matière]],'Facteur 1'!$B$10:$B$46,0))</f>
        <v>1917070.6120493556</v>
      </c>
      <c r="S32" s="421">
        <f>INDEX('Facteur 2'!$J$10:$J$46,MATCH(tblMatières[[#This Row],[Matière]],'Facteur 2'!$B$10:$B$46,0))</f>
        <v>1039980.5635552346</v>
      </c>
      <c r="T32" s="421">
        <f>INDEX('Facteur 3'!$L$10:$L$46,MATCH(tblMatières[[#This Row],[Matière]],'Facteur 3'!$B$10:$B$46,0))</f>
        <v>301777.09150661906</v>
      </c>
      <c r="U32" s="421">
        <f>INDEX('Frais de gestion &amp; RQ'!$G$10:$G$46,MATCH(tblMatières[[#This Row],[Matière]],'Frais de gestion &amp; RQ'!$B$10:$B$46,0))</f>
        <v>650194.1783146516</v>
      </c>
      <c r="V32" s="421">
        <f>INDEX('Crédit contenu recyclé'!$J$6:$J$42,MATCH(tblMatières[[#This Row],[Matière]],'Crédit contenu recyclé'!$B$6:$B$42,0))</f>
        <v>0</v>
      </c>
      <c r="W32" s="421">
        <f>INDEX(Paramètres!$F$46:$F$75,MATCH(tblMatières[[#This Row],[Matière]],Paramètres!$B$46:$B$75,0))</f>
        <v>0</v>
      </c>
      <c r="X32" s="325">
        <f>INDEX(rgTarif_TxFinal,MATCH(tblMatières[[#This Row],[Matière]],rgTarif_Matières,0))</f>
        <v>173.22</v>
      </c>
    </row>
    <row r="33" spans="2:24">
      <c r="B33" s="37" t="s">
        <v>4</v>
      </c>
      <c r="C33" s="37" t="s">
        <v>17</v>
      </c>
      <c r="D33" s="37" t="s">
        <v>18</v>
      </c>
      <c r="E33" s="37">
        <v>60</v>
      </c>
      <c r="F33" s="272">
        <f>INDEX(rgDéclaration_NbDécl,MATCH(tblMatières[[#This Row],[Matière]],rgDéclaration_Matières,0))</f>
        <v>204</v>
      </c>
      <c r="G33" s="271">
        <f>INT(INDEX(rgDéclaration_QtéFinale,MATCH(tblMatières[[#This Row],[Matière]],rgDéclaration_Matières,0)))</f>
        <v>56442516</v>
      </c>
      <c r="H33" s="271">
        <f>tblMatières[[#This Row],[Quantité attendue net (kg)]]/1000</f>
        <v>56442.516000000003</v>
      </c>
      <c r="I33" s="271">
        <f>tblMatières[[#This Row],[Quantité déclarée (tonnes)]]</f>
        <v>56442.516000000003</v>
      </c>
      <c r="J33" s="271">
        <f>tblMatières[[#This Row],[Quantité générée (tonnes)]]*tblMatières[[#This Row],[% récupération]]</f>
        <v>44498.909088249253</v>
      </c>
      <c r="K33" s="271">
        <f>tblMatières[[#This Row],[Quantité générée (tonnes)]]-tblMatières[[#This Row],[Quantité récupérée (tonnes)]]</f>
        <v>11943.60691175075</v>
      </c>
      <c r="L33" s="418">
        <f>INDEX(Caractérisation!$C$7:$C$36,MATCH(tblMatières[[#This Row],[Matière]],Caractérisation!$B$7:$B$36,0))</f>
        <v>0.78839343533603723</v>
      </c>
      <c r="M33" s="447">
        <f>INDEX(Paramètres!$C$46:$C$75,MATCH(tblMatières[[#This Row],[Matière]],Paramètres!$B$46:$B$75,0))</f>
        <v>179.16746386321736</v>
      </c>
      <c r="N33" s="447">
        <f>INDEX(Paramètres!$D$46:$D$75,MATCH(tblMatières[[#This Row],[Matière]],Paramètres!$B$46:$B$75,0))</f>
        <v>-22.026946096764632</v>
      </c>
      <c r="O33" s="274">
        <f>tblMatières[[#This Row],[Coût brut]]-tblMatières[[#This Row],[Revenu brut]]</f>
        <v>201.19440995998201</v>
      </c>
      <c r="P33" s="325">
        <f>INDEX(Paramètres!$E$46:$E$75,MATCH(tblMatières[[#This Row],[Matière]],Paramètres!$B$46:$B$75,0))</f>
        <v>232935.55122401885</v>
      </c>
      <c r="Q33" s="364">
        <f>INDEX('Crédit contenu recyclé'!$F$6:$F$42,MATCH(tblMatières[[#This Row],[Matière]],'Crédit contenu recyclé'!$B$6:$B$42,0))</f>
        <v>0</v>
      </c>
      <c r="R33" s="421">
        <f>INDEX('Facteur 1'!$H$10:$H$46,MATCH(tblMatières[[#This Row],[Matière]],'Facteur 1'!$B$10:$B$46,0))</f>
        <v>2771382.0941106146</v>
      </c>
      <c r="S33" s="421">
        <f>INDEX('Facteur 2'!$J$10:$J$46,MATCH(tblMatières[[#This Row],[Matière]],'Facteur 2'!$B$10:$B$46,0))</f>
        <v>5871958.1901864065</v>
      </c>
      <c r="T33" s="421">
        <f>INDEX('Facteur 3'!$L$10:$L$46,MATCH(tblMatières[[#This Row],[Matière]],'Facteur 3'!$B$10:$B$46,0))</f>
        <v>844062.18628922419</v>
      </c>
      <c r="U33" s="421">
        <f>INDEX('Frais de gestion &amp; RQ'!$G$10:$G$46,MATCH(tblMatières[[#This Row],[Matière]],'Frais de gestion &amp; RQ'!$B$10:$B$46,0))</f>
        <v>398592.89987733768</v>
      </c>
      <c r="V33" s="421">
        <f>INDEX('Crédit contenu recyclé'!$J$6:$J$42,MATCH(tblMatières[[#This Row],[Matière]],'Crédit contenu recyclé'!$B$6:$B$42,0))</f>
        <v>0</v>
      </c>
      <c r="W33" s="421">
        <f>INDEX(Paramètres!$F$46:$F$75,MATCH(tblMatières[[#This Row],[Matière]],Paramètres!$B$46:$B$75,0))</f>
        <v>0</v>
      </c>
      <c r="X33" s="325">
        <f>INDEX(rgTarif_TxFinal,MATCH(tblMatières[[#This Row],[Matière]],rgTarif_Matières,0))</f>
        <v>175.15</v>
      </c>
    </row>
    <row r="34" spans="2:24">
      <c r="B34" s="37" t="s">
        <v>4</v>
      </c>
      <c r="C34" s="37" t="s">
        <v>17</v>
      </c>
      <c r="D34" s="37" t="s">
        <v>19</v>
      </c>
      <c r="E34" s="37">
        <v>61</v>
      </c>
      <c r="F34" s="272">
        <f>INDEX(rgDéclaration_NbDécl,MATCH(tblMatières[[#This Row],[Matière]],rgDéclaration_Matières,0))</f>
        <v>123</v>
      </c>
      <c r="G34" s="271">
        <f>INT(INDEX(rgDéclaration_QtéFinale,MATCH(tblMatières[[#This Row],[Matière]],rgDéclaration_Matières,0)))</f>
        <v>83245165</v>
      </c>
      <c r="H34" s="271">
        <f>tblMatières[[#This Row],[Quantité attendue net (kg)]]/1000</f>
        <v>83245.164999999994</v>
      </c>
      <c r="I34" s="271">
        <f>tblMatières[[#This Row],[Quantité déclarée (tonnes)]]</f>
        <v>83245.164999999994</v>
      </c>
      <c r="J34" s="271">
        <f>tblMatières[[#This Row],[Quantité générée (tonnes)]]*tblMatières[[#This Row],[% récupération]]</f>
        <v>65629.941609465241</v>
      </c>
      <c r="K34" s="271">
        <f>tblMatières[[#This Row],[Quantité générée (tonnes)]]-tblMatières[[#This Row],[Quantité récupérée (tonnes)]]</f>
        <v>17615.223390534753</v>
      </c>
      <c r="L34" s="418">
        <f>INDEX(Caractérisation!$C$7:$C$36,MATCH(tblMatières[[#This Row],[Matière]],Caractérisation!$B$7:$B$36,0))</f>
        <v>0.78839343533603723</v>
      </c>
      <c r="M34" s="447">
        <f>INDEX(Paramètres!$C$46:$C$75,MATCH(tblMatières[[#This Row],[Matière]],Paramètres!$B$46:$B$75,0))</f>
        <v>178.21597475518263</v>
      </c>
      <c r="N34" s="447">
        <f>INDEX(Paramètres!$D$46:$D$75,MATCH(tblMatières[[#This Row],[Matière]],Paramètres!$B$46:$B$75,0))</f>
        <v>-23.051819692792051</v>
      </c>
      <c r="O34" s="274">
        <f>tblMatières[[#This Row],[Coût brut]]-tblMatières[[#This Row],[Revenu brut]]</f>
        <v>201.26779444797467</v>
      </c>
      <c r="P34" s="325">
        <f>INDEX(Paramètres!$E$46:$E$75,MATCH(tblMatières[[#This Row],[Matière]],Paramètres!$B$46:$B$75,0))</f>
        <v>343548.79566335061</v>
      </c>
      <c r="Q34" s="364">
        <f>INDEX('Crédit contenu recyclé'!$F$6:$F$42,MATCH(tblMatières[[#This Row],[Matière]],'Crédit contenu recyclé'!$B$6:$B$42,0))</f>
        <v>0</v>
      </c>
      <c r="R34" s="421">
        <f>INDEX('Facteur 1'!$H$10:$H$46,MATCH(tblMatières[[#This Row],[Matière]],'Facteur 1'!$B$10:$B$46,0))</f>
        <v>4087418.0680089407</v>
      </c>
      <c r="S34" s="421">
        <f>INDEX('Facteur 2'!$J$10:$J$46,MATCH(tblMatières[[#This Row],[Matière]],'Facteur 2'!$B$10:$B$46,0))</f>
        <v>8663512.0905851666</v>
      </c>
      <c r="T34" s="421">
        <f>INDEX('Facteur 3'!$L$10:$L$46,MATCH(tblMatières[[#This Row],[Matière]],'Facteur 3'!$B$10:$B$46,0))</f>
        <v>1245332.939928564</v>
      </c>
      <c r="U34" s="421">
        <f>INDEX('Frais de gestion &amp; RQ'!$G$10:$G$46,MATCH(tblMatières[[#This Row],[Matière]],'Frais de gestion &amp; RQ'!$B$10:$B$46,0))</f>
        <v>587871.2373154565</v>
      </c>
      <c r="V34" s="421">
        <f>INDEX('Crédit contenu recyclé'!$J$6:$J$42,MATCH(tblMatières[[#This Row],[Matière]],'Crédit contenu recyclé'!$B$6:$B$42,0))</f>
        <v>0</v>
      </c>
      <c r="W34" s="421">
        <f>INDEX(Paramètres!$F$46:$F$75,MATCH(tblMatières[[#This Row],[Matière]],Paramètres!$B$46:$B$75,0))</f>
        <v>0</v>
      </c>
      <c r="X34" s="325">
        <f>INDEX(rgTarif_TxFinal,MATCH(tblMatières[[#This Row],[Matière]],rgTarif_Matières,0))</f>
        <v>175.19</v>
      </c>
    </row>
    <row r="35" spans="2:24">
      <c r="B35" s="533" t="s">
        <v>40</v>
      </c>
      <c r="C35" s="533"/>
      <c r="D35" s="533"/>
      <c r="E35" s="533"/>
      <c r="F35" s="534">
        <f>SUBTOTAL(109,tblMatières[Nombre déclarations])</f>
        <v>6581</v>
      </c>
      <c r="G35" s="534">
        <f>SUBTOTAL(109,tblMatières[Quantité attendue net (kg)])</f>
        <v>642270197</v>
      </c>
      <c r="H35" s="534">
        <f>SUBTOTAL(109,tblMatières[Quantité déclarée (tonnes)])</f>
        <v>642270.19699999993</v>
      </c>
      <c r="I35" s="534">
        <f>SUBTOTAL(109,tblMatières[Quantité générée (tonnes)])</f>
        <v>642270.19699999993</v>
      </c>
      <c r="J35" s="534">
        <f>SUBTOTAL(109,tblMatières[Quantité récupérée (tonnes)])</f>
        <v>422897.71955038316</v>
      </c>
      <c r="K35" s="534">
        <f>SUBTOTAL(109,tblMatières[Quantité éliminée (t)])</f>
        <v>219372.47744961688</v>
      </c>
      <c r="L35" s="535"/>
      <c r="M35" s="535"/>
      <c r="N35" s="535"/>
      <c r="O35" s="535"/>
      <c r="P35" s="535"/>
      <c r="Q35" s="535"/>
      <c r="R35" s="536">
        <f>SUBTOTAL(109,tblMatières[Coût - Facteur 1])</f>
        <v>56984323.027237281</v>
      </c>
      <c r="S35" s="536">
        <f>SUBTOTAL(109,tblMatières[Coût - Facteur 2])</f>
        <v>56984323.027237289</v>
      </c>
      <c r="T35" s="536">
        <f>SUBTOTAL(109,tblMatières[Coût - Facteur 3])</f>
        <v>28492161.513618637</v>
      </c>
      <c r="U35" s="536">
        <f>SUBTOTAL(109,tblMatières[Coût - Frais admin])</f>
        <v>10051000</v>
      </c>
      <c r="V35" s="536">
        <f>SUBTOTAL(109,tblMatières[Coût - Crédit])</f>
        <v>485526.19078692421</v>
      </c>
      <c r="W35" s="536">
        <f>SUBTOTAL(109,tblMatières[Fonds de stabilité])</f>
        <v>0</v>
      </c>
      <c r="X35" s="535"/>
    </row>
    <row r="38" spans="2:24" ht="34.5" customHeight="1">
      <c r="D38" s="432"/>
      <c r="E38" s="432"/>
      <c r="F38" s="432"/>
      <c r="G38" s="432"/>
      <c r="H38" s="432"/>
      <c r="I38" s="432"/>
      <c r="J38" s="432"/>
      <c r="K38" s="432"/>
      <c r="L38" s="432"/>
      <c r="M38" s="432"/>
    </row>
    <row r="39" spans="2:24">
      <c r="D39" s="366"/>
      <c r="E39" s="411"/>
      <c r="F39" s="266"/>
      <c r="G39" s="266"/>
      <c r="H39" s="266"/>
      <c r="I39" s="266"/>
      <c r="J39" s="426"/>
      <c r="K39" s="424"/>
      <c r="L39" s="431"/>
      <c r="M39" s="431"/>
      <c r="Q39" s="422"/>
    </row>
    <row r="40" spans="2:24">
      <c r="D40" s="367"/>
      <c r="E40" s="411"/>
      <c r="F40" s="266"/>
      <c r="G40" s="266"/>
      <c r="H40" s="266"/>
      <c r="I40" s="266"/>
      <c r="J40" s="426"/>
      <c r="K40" s="424"/>
      <c r="L40" s="431"/>
      <c r="M40" s="431"/>
    </row>
    <row r="41" spans="2:24">
      <c r="D41" s="419"/>
      <c r="E41" s="411"/>
      <c r="F41" s="266"/>
      <c r="G41" s="266"/>
      <c r="H41" s="266"/>
      <c r="I41" s="266"/>
      <c r="J41" s="426"/>
      <c r="K41" s="424"/>
      <c r="L41" s="431"/>
      <c r="M41" s="431"/>
    </row>
    <row r="42" spans="2:24">
      <c r="D42" s="419"/>
      <c r="E42" s="411"/>
      <c r="F42" s="266"/>
      <c r="G42" s="266"/>
      <c r="H42" s="266"/>
      <c r="I42" s="266"/>
      <c r="J42" s="426"/>
      <c r="K42" s="424"/>
      <c r="L42" s="431"/>
      <c r="M42" s="431"/>
    </row>
    <row r="43" spans="2:24">
      <c r="D43" s="419"/>
      <c r="E43" s="411"/>
      <c r="F43" s="266"/>
      <c r="G43" s="266"/>
      <c r="H43" s="266"/>
      <c r="I43" s="266"/>
      <c r="J43" s="426"/>
      <c r="K43" s="424"/>
      <c r="L43" s="431"/>
      <c r="M43" s="431"/>
    </row>
    <row r="44" spans="2:24">
      <c r="D44" s="419"/>
      <c r="E44" s="411"/>
      <c r="F44" s="266"/>
      <c r="G44" s="266"/>
      <c r="H44" s="266"/>
      <c r="I44" s="266"/>
      <c r="J44" s="426"/>
      <c r="K44" s="424"/>
      <c r="L44" s="431"/>
      <c r="M44" s="431"/>
    </row>
    <row r="45" spans="2:24">
      <c r="D45" s="419"/>
      <c r="E45" s="411"/>
      <c r="F45" s="266"/>
      <c r="G45" s="266"/>
      <c r="H45" s="266"/>
      <c r="I45" s="266"/>
      <c r="J45" s="426"/>
      <c r="K45" s="424"/>
      <c r="L45" s="431"/>
      <c r="M45" s="431"/>
    </row>
    <row r="46" spans="2:24">
      <c r="D46" s="419"/>
      <c r="E46" s="411"/>
      <c r="F46" s="266"/>
      <c r="G46" s="266"/>
      <c r="H46" s="266"/>
      <c r="I46" s="266"/>
      <c r="J46" s="426"/>
      <c r="K46" s="424"/>
      <c r="L46" s="431"/>
      <c r="M46" s="431"/>
    </row>
    <row r="47" spans="2:24">
      <c r="D47" s="366"/>
      <c r="E47" s="411"/>
      <c r="F47" s="266"/>
      <c r="G47" s="266"/>
      <c r="H47" s="266"/>
      <c r="I47" s="266"/>
      <c r="J47" s="426"/>
      <c r="K47" s="424"/>
      <c r="L47" s="431"/>
      <c r="M47" s="431"/>
    </row>
    <row r="48" spans="2:24">
      <c r="D48" s="367"/>
      <c r="E48" s="411"/>
      <c r="F48" s="266"/>
      <c r="G48" s="266"/>
      <c r="H48" s="266"/>
      <c r="I48" s="266"/>
      <c r="J48" s="426"/>
      <c r="K48" s="424"/>
      <c r="L48" s="431"/>
      <c r="M48" s="431"/>
    </row>
    <row r="49" spans="4:13">
      <c r="D49" s="419"/>
      <c r="E49" s="411"/>
      <c r="F49" s="266"/>
      <c r="G49" s="266"/>
      <c r="H49" s="266"/>
      <c r="I49" s="266"/>
      <c r="J49" s="426"/>
      <c r="K49" s="424"/>
      <c r="L49" s="431"/>
      <c r="M49" s="431"/>
    </row>
    <row r="50" spans="4:13">
      <c r="D50" s="419"/>
      <c r="E50" s="411"/>
      <c r="F50" s="266"/>
      <c r="G50" s="266"/>
      <c r="H50" s="266"/>
      <c r="I50" s="266"/>
      <c r="J50" s="426"/>
      <c r="K50" s="424"/>
      <c r="L50" s="431"/>
      <c r="M50" s="431"/>
    </row>
    <row r="51" spans="4:13">
      <c r="D51" s="419"/>
      <c r="E51" s="411"/>
      <c r="F51" s="266"/>
      <c r="G51" s="266"/>
      <c r="H51" s="266"/>
      <c r="I51" s="266"/>
      <c r="J51" s="426"/>
      <c r="K51" s="424"/>
      <c r="L51" s="431"/>
      <c r="M51" s="431"/>
    </row>
    <row r="52" spans="4:13">
      <c r="D52" s="419"/>
      <c r="E52" s="411"/>
      <c r="F52" s="266"/>
      <c r="G52" s="266"/>
      <c r="H52" s="266"/>
      <c r="I52" s="266"/>
      <c r="J52" s="426"/>
      <c r="K52" s="424"/>
      <c r="L52" s="431"/>
      <c r="M52" s="431"/>
    </row>
    <row r="53" spans="4:13">
      <c r="D53" s="419"/>
      <c r="E53" s="411"/>
      <c r="F53" s="266"/>
      <c r="G53" s="266"/>
      <c r="H53" s="266"/>
      <c r="I53" s="266"/>
      <c r="J53" s="426"/>
      <c r="K53" s="424"/>
      <c r="L53" s="431"/>
      <c r="M53" s="431"/>
    </row>
    <row r="54" spans="4:13">
      <c r="D54" s="419"/>
      <c r="E54" s="411"/>
      <c r="F54" s="266"/>
      <c r="G54" s="266"/>
      <c r="H54" s="266"/>
      <c r="I54" s="266"/>
      <c r="J54" s="426"/>
      <c r="K54" s="424"/>
      <c r="L54" s="431"/>
      <c r="M54" s="431"/>
    </row>
    <row r="55" spans="4:13">
      <c r="D55" s="419"/>
      <c r="E55" s="411"/>
      <c r="F55" s="266"/>
      <c r="G55" s="266"/>
      <c r="H55" s="266"/>
      <c r="I55" s="266"/>
      <c r="J55" s="426"/>
      <c r="K55" s="424"/>
      <c r="L55" s="431"/>
      <c r="M55" s="431"/>
    </row>
    <row r="56" spans="4:13">
      <c r="D56" s="367"/>
      <c r="E56" s="411"/>
      <c r="F56" s="266"/>
      <c r="G56" s="266"/>
      <c r="H56" s="266"/>
      <c r="I56" s="266"/>
      <c r="J56" s="426"/>
      <c r="K56" s="424"/>
      <c r="L56" s="431"/>
      <c r="M56" s="431"/>
    </row>
    <row r="57" spans="4:13">
      <c r="D57" s="419"/>
      <c r="E57" s="411"/>
      <c r="F57" s="266"/>
      <c r="G57" s="266"/>
      <c r="H57" s="266"/>
      <c r="I57" s="266"/>
      <c r="J57" s="426"/>
      <c r="K57" s="424"/>
      <c r="L57" s="431"/>
      <c r="M57" s="431"/>
    </row>
    <row r="58" spans="4:13">
      <c r="D58" s="419"/>
      <c r="E58" s="411"/>
      <c r="F58" s="266"/>
      <c r="G58" s="266"/>
      <c r="H58" s="266"/>
      <c r="I58" s="266"/>
      <c r="J58" s="426"/>
      <c r="K58" s="424"/>
      <c r="L58" s="431"/>
      <c r="M58" s="431"/>
    </row>
    <row r="59" spans="4:13">
      <c r="D59" s="419"/>
      <c r="E59" s="411"/>
      <c r="F59" s="266"/>
      <c r="G59" s="266"/>
      <c r="H59" s="266"/>
      <c r="I59" s="266"/>
      <c r="J59" s="426"/>
      <c r="K59" s="424"/>
      <c r="L59" s="431"/>
      <c r="M59" s="431"/>
    </row>
    <row r="60" spans="4:13">
      <c r="D60" s="419"/>
      <c r="E60" s="411"/>
      <c r="F60" s="266"/>
      <c r="G60" s="266"/>
      <c r="H60" s="266"/>
      <c r="I60" s="266"/>
      <c r="J60" s="426"/>
      <c r="K60" s="424"/>
      <c r="L60" s="431"/>
      <c r="M60" s="431"/>
    </row>
    <row r="61" spans="4:13">
      <c r="D61" s="419"/>
      <c r="E61" s="411"/>
      <c r="F61" s="266"/>
      <c r="G61" s="266"/>
      <c r="H61" s="266"/>
      <c r="I61" s="266"/>
      <c r="J61" s="426"/>
      <c r="K61" s="424"/>
      <c r="L61" s="431"/>
      <c r="M61" s="431"/>
    </row>
    <row r="62" spans="4:13">
      <c r="D62" s="419"/>
      <c r="E62" s="411"/>
      <c r="F62" s="266"/>
      <c r="G62" s="266"/>
      <c r="H62" s="266"/>
      <c r="I62" s="266"/>
      <c r="J62" s="426"/>
      <c r="K62" s="424"/>
      <c r="L62" s="431"/>
      <c r="M62" s="431"/>
    </row>
    <row r="63" spans="4:13">
      <c r="D63" s="419"/>
      <c r="E63" s="411"/>
      <c r="F63" s="266"/>
      <c r="G63" s="266"/>
      <c r="H63" s="266"/>
      <c r="I63" s="266"/>
      <c r="J63" s="426"/>
      <c r="K63" s="424"/>
      <c r="L63" s="431"/>
      <c r="M63" s="431"/>
    </row>
    <row r="64" spans="4:13">
      <c r="D64" s="419"/>
      <c r="E64" s="411"/>
      <c r="F64" s="266"/>
      <c r="G64" s="266"/>
      <c r="H64" s="266"/>
      <c r="I64" s="266"/>
      <c r="J64" s="426"/>
      <c r="K64" s="424"/>
      <c r="L64" s="431"/>
      <c r="M64" s="431"/>
    </row>
    <row r="65" spans="4:13">
      <c r="D65" s="419"/>
      <c r="E65" s="411"/>
      <c r="F65" s="266"/>
      <c r="G65" s="266"/>
      <c r="H65" s="266"/>
      <c r="I65" s="266"/>
      <c r="J65" s="426"/>
      <c r="K65" s="424"/>
      <c r="L65" s="431"/>
      <c r="M65" s="431"/>
    </row>
    <row r="66" spans="4:13">
      <c r="D66" s="419"/>
      <c r="E66" s="411"/>
      <c r="F66" s="266"/>
      <c r="G66" s="266"/>
      <c r="H66" s="266"/>
      <c r="I66" s="266"/>
      <c r="J66" s="426"/>
      <c r="K66" s="424"/>
      <c r="L66" s="431"/>
      <c r="M66" s="431"/>
    </row>
    <row r="67" spans="4:13">
      <c r="D67" s="419"/>
      <c r="E67" s="411"/>
      <c r="F67" s="266"/>
      <c r="G67" s="266"/>
      <c r="H67" s="266"/>
      <c r="I67" s="266"/>
      <c r="J67" s="426"/>
      <c r="K67" s="424"/>
      <c r="L67" s="431"/>
      <c r="M67" s="431"/>
    </row>
    <row r="68" spans="4:13">
      <c r="D68" s="367"/>
      <c r="E68" s="411"/>
      <c r="F68" s="266"/>
      <c r="G68" s="266"/>
      <c r="H68" s="266"/>
      <c r="I68" s="266"/>
      <c r="J68" s="426"/>
      <c r="K68" s="424"/>
      <c r="L68" s="431"/>
      <c r="M68" s="431"/>
    </row>
    <row r="69" spans="4:13">
      <c r="D69" s="419"/>
      <c r="E69" s="411"/>
      <c r="F69" s="266"/>
      <c r="G69" s="266"/>
      <c r="H69" s="266"/>
      <c r="I69" s="266"/>
      <c r="J69" s="426"/>
      <c r="K69" s="424"/>
      <c r="L69" s="431"/>
      <c r="M69" s="431"/>
    </row>
    <row r="70" spans="4:13">
      <c r="D70" s="419"/>
      <c r="E70" s="411"/>
      <c r="F70" s="266"/>
      <c r="G70" s="266"/>
      <c r="H70" s="266"/>
      <c r="I70" s="266"/>
      <c r="J70" s="426"/>
      <c r="K70" s="424"/>
      <c r="L70" s="431"/>
      <c r="M70" s="431"/>
    </row>
    <row r="71" spans="4:13">
      <c r="D71" s="367"/>
      <c r="E71" s="411"/>
      <c r="F71" s="266"/>
      <c r="G71" s="266"/>
      <c r="H71" s="266"/>
      <c r="I71" s="266"/>
      <c r="J71" s="426"/>
      <c r="K71" s="424"/>
      <c r="L71" s="431"/>
      <c r="M71" s="431"/>
    </row>
    <row r="72" spans="4:13">
      <c r="D72" s="419"/>
      <c r="E72" s="411"/>
      <c r="F72" s="266"/>
      <c r="G72" s="266"/>
      <c r="H72" s="266"/>
      <c r="I72" s="266"/>
      <c r="J72" s="426"/>
      <c r="K72" s="424"/>
      <c r="L72" s="431"/>
      <c r="M72" s="431"/>
    </row>
    <row r="73" spans="4:13">
      <c r="D73" s="419"/>
      <c r="E73" s="411"/>
      <c r="F73" s="266"/>
      <c r="G73" s="266"/>
      <c r="H73" s="266"/>
      <c r="I73" s="266"/>
      <c r="J73" s="426"/>
      <c r="K73" s="424"/>
      <c r="L73" s="431"/>
      <c r="M73" s="431"/>
    </row>
    <row r="74" spans="4:13">
      <c r="D74" s="367"/>
      <c r="E74" s="411"/>
      <c r="F74" s="266"/>
      <c r="G74" s="266"/>
      <c r="H74" s="266"/>
      <c r="I74" s="266"/>
      <c r="J74" s="426"/>
      <c r="K74" s="424"/>
      <c r="L74" s="431"/>
      <c r="M74" s="431"/>
    </row>
    <row r="75" spans="4:13">
      <c r="D75" s="419"/>
      <c r="E75" s="411"/>
      <c r="F75" s="266"/>
      <c r="G75" s="266"/>
      <c r="H75" s="266"/>
      <c r="I75" s="266"/>
      <c r="J75" s="426"/>
      <c r="K75" s="424"/>
      <c r="L75" s="431"/>
      <c r="M75" s="431"/>
    </row>
    <row r="76" spans="4:13">
      <c r="D76" s="419"/>
      <c r="E76" s="411"/>
      <c r="F76" s="266"/>
      <c r="G76" s="266"/>
      <c r="H76" s="266"/>
      <c r="I76" s="266"/>
      <c r="J76" s="426"/>
      <c r="K76" s="424"/>
      <c r="L76" s="431"/>
      <c r="M76" s="431"/>
    </row>
    <row r="77" spans="4:13">
      <c r="D77" s="366"/>
      <c r="E77" s="411"/>
      <c r="F77" s="266"/>
      <c r="G77" s="266"/>
      <c r="H77" s="266"/>
      <c r="I77" s="266"/>
      <c r="J77" s="426"/>
      <c r="K77" s="424"/>
      <c r="L77" s="431"/>
      <c r="M77" s="431"/>
    </row>
    <row r="84" spans="4:5">
      <c r="D84" s="366"/>
      <c r="E84" s="425"/>
    </row>
    <row r="85" spans="4:5">
      <c r="D85" s="366"/>
      <c r="E85" s="425"/>
    </row>
    <row r="86" spans="4:5">
      <c r="D86" s="366"/>
      <c r="E86" s="425"/>
    </row>
    <row r="87" spans="4:5">
      <c r="D87" s="366"/>
      <c r="E87" s="425"/>
    </row>
    <row r="88" spans="4:5">
      <c r="D88" s="366"/>
      <c r="E88" s="425"/>
    </row>
    <row r="89" spans="4:5">
      <c r="D89" s="366"/>
      <c r="E89" s="425"/>
    </row>
  </sheetData>
  <pageMargins left="0.25" right="0.25" top="0.75" bottom="0.75" header="0.3" footer="0.3"/>
  <pageSetup paperSize="5" scale="48"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pageSetUpPr fitToPage="1"/>
  </sheetPr>
  <dimension ref="A1:J54"/>
  <sheetViews>
    <sheetView showGridLines="0" zoomScale="85" zoomScaleNormal="85" zoomScaleSheetLayoutView="70" workbookViewId="0">
      <pane xSplit="2" ySplit="7" topLeftCell="C8" activePane="bottomRight" state="frozen"/>
      <selection activeCell="J62" sqref="J62"/>
      <selection pane="topRight" activeCell="J62" sqref="J62"/>
      <selection pane="bottomLeft" activeCell="J62" sqref="J62"/>
      <selection pane="bottomRight" activeCell="K40" sqref="K40"/>
    </sheetView>
  </sheetViews>
  <sheetFormatPr baseColWidth="10" defaultColWidth="9.140625" defaultRowHeight="15"/>
  <cols>
    <col min="1" max="1" width="25.42578125" customWidth="1"/>
    <col min="2" max="2" width="64.5703125" bestFit="1" customWidth="1"/>
    <col min="3" max="3" width="17.7109375" customWidth="1"/>
    <col min="4" max="4" width="17.140625" customWidth="1"/>
    <col min="5" max="5" width="16.42578125" customWidth="1"/>
    <col min="6" max="6" width="17.7109375" customWidth="1"/>
    <col min="7" max="7" width="17.5703125" customWidth="1"/>
    <col min="8" max="8" width="15.85546875" bestFit="1" customWidth="1"/>
  </cols>
  <sheetData>
    <row r="1" spans="1:10" s="149" customFormat="1" ht="15.75" thickBot="1">
      <c r="A1" s="4" t="s">
        <v>56</v>
      </c>
      <c r="B1" s="36"/>
    </row>
    <row r="2" spans="1:10" ht="6.75" customHeight="1" thickBot="1">
      <c r="A2" s="35"/>
      <c r="B2" s="35"/>
    </row>
    <row r="3" spans="1:10" ht="18.75" thickBot="1">
      <c r="A3" s="83" t="str">
        <f>Paramètres!B4</f>
        <v>Tarif</v>
      </c>
      <c r="B3" s="236">
        <f>AnnéeTarif</f>
        <v>2019</v>
      </c>
    </row>
    <row r="4" spans="1:10" ht="18.75" thickBot="1">
      <c r="A4" s="83" t="str">
        <f>Paramètres!B5</f>
        <v>Version</v>
      </c>
      <c r="B4" s="236" t="str">
        <f>Paramètres!C5</f>
        <v>Projet de Tarif</v>
      </c>
    </row>
    <row r="5" spans="1:10" ht="18.75" thickBot="1">
      <c r="A5" s="83" t="str">
        <f>Paramètres!B6</f>
        <v>Année civile de référence</v>
      </c>
      <c r="B5" s="84">
        <f>AnnéeRéf</f>
        <v>2018</v>
      </c>
      <c r="G5" s="37"/>
      <c r="H5" s="37"/>
    </row>
    <row r="6" spans="1:10" ht="35.25" customHeight="1">
      <c r="A6" s="94"/>
      <c r="B6" s="94"/>
      <c r="C6" s="622"/>
      <c r="D6" s="623"/>
      <c r="E6" s="623"/>
      <c r="F6" s="624"/>
      <c r="G6" s="611" t="s">
        <v>114</v>
      </c>
      <c r="H6" s="612"/>
    </row>
    <row r="7" spans="1:10" ht="45.75" thickBot="1">
      <c r="A7" s="256" t="str">
        <f>'Sommaire exécutif'!A7</f>
        <v>CATÉGORIE</v>
      </c>
      <c r="B7" s="9" t="str">
        <f>'Sommaire exécutif'!B7</f>
        <v>Matière</v>
      </c>
      <c r="C7" s="44" t="str">
        <f>'Sommaire exécutif'!D7</f>
        <v xml:space="preserve">Quantité générée
(tonnes) </v>
      </c>
      <c r="D7" s="44" t="str">
        <f>'Sommaire exécutif'!E7</f>
        <v xml:space="preserve">Quantité récupérée
(tonnes) </v>
      </c>
      <c r="E7" s="44" t="str">
        <f>'Sommaire exécutif'!$F$7</f>
        <v xml:space="preserve">Quantité éliminée
(tonnes) </v>
      </c>
      <c r="F7" s="47" t="str">
        <f>'Sommaire exécutif'!$C$7</f>
        <v>Quantité déclarée 
(tonnes)</v>
      </c>
      <c r="G7" s="160" t="s">
        <v>71</v>
      </c>
      <c r="H7" s="160" t="s">
        <v>77</v>
      </c>
    </row>
    <row r="8" spans="1:10" ht="15.75" thickBot="1">
      <c r="A8" s="89"/>
      <c r="B8" s="68" t="s">
        <v>66</v>
      </c>
      <c r="C8" s="69"/>
      <c r="D8" s="70"/>
      <c r="E8" s="70"/>
      <c r="F8" s="71"/>
      <c r="G8" s="140">
        <f>Facteur1</f>
        <v>0.4</v>
      </c>
      <c r="H8" s="141"/>
    </row>
    <row r="9" spans="1:10">
      <c r="A9" s="43" t="str">
        <f>'Sommaire exécutif'!$A8</f>
        <v>IMPRIMÉS</v>
      </c>
      <c r="B9" s="11"/>
      <c r="C9" s="93"/>
      <c r="D9" s="75"/>
      <c r="E9" s="75"/>
      <c r="F9" s="92"/>
      <c r="G9" s="67"/>
      <c r="H9" s="101"/>
    </row>
    <row r="10" spans="1:10">
      <c r="A10" s="63"/>
      <c r="B10" s="37" t="str">
        <f>INDEX(ListeMatières,1)</f>
        <v>Encarts et circulaires imprimés sur du papier journal</v>
      </c>
      <c r="C10" s="58">
        <f>INDEX(tblMatières[Quantité générée (tonnes)],MATCH($B10,tblMatières[Matière],0))</f>
        <v>92875.491999999998</v>
      </c>
      <c r="D10" s="26">
        <f>INDEX(tblMatières[Quantité récupérée (tonnes)],MATCH($B10,tblMatières[Matière],0))</f>
        <v>79077.813804180056</v>
      </c>
      <c r="E10" s="26">
        <f t="shared" ref="E10:E15" si="0">C10-D10</f>
        <v>13797.678195819943</v>
      </c>
      <c r="F10" s="48">
        <f>INDEX(tblMatières[Quantité déclarée (tonnes)],MATCH($B10,tblMatières[Matière],0))</f>
        <v>92875.491999999998</v>
      </c>
      <c r="G10" s="564">
        <f t="shared" ref="G10:G15" si="1">E10/$E$16</f>
        <v>0.49476044405125541</v>
      </c>
      <c r="H10" s="288">
        <f t="shared" ref="H10:H15" si="2">G10*$H$53</f>
        <v>6210416.2752477694</v>
      </c>
      <c r="J10" s="428"/>
    </row>
    <row r="11" spans="1:10">
      <c r="A11" s="38"/>
      <c r="B11" s="37" t="str">
        <f>INDEX(ListeMatières,2)</f>
        <v>Catalogues et publications</v>
      </c>
      <c r="C11" s="58">
        <f>INDEX(tblMatières[Quantité générée (tonnes)],MATCH($B11,tblMatières[Matière],0))</f>
        <v>11747.308000000001</v>
      </c>
      <c r="D11" s="26">
        <f>INDEX(tblMatières[Quantité récupérée (tonnes)],MATCH($B11,tblMatières[Matière],0))</f>
        <v>9684.3486270753401</v>
      </c>
      <c r="E11" s="26">
        <f t="shared" si="0"/>
        <v>2062.9593729246608</v>
      </c>
      <c r="F11" s="48">
        <f>INDEX(tblMatières[Quantité déclarée (tonnes)],MATCH($B11,tblMatières[Matière],0))</f>
        <v>11747.308000000001</v>
      </c>
      <c r="G11" s="564">
        <f t="shared" si="1"/>
        <v>7.39740904898855E-2</v>
      </c>
      <c r="H11" s="288">
        <f t="shared" si="2"/>
        <v>928550.17220706295</v>
      </c>
      <c r="J11" s="428"/>
    </row>
    <row r="12" spans="1:10">
      <c r="A12" s="38"/>
      <c r="B12" s="37" t="str">
        <f>INDEX(ListeMatières,3)</f>
        <v>Magazines</v>
      </c>
      <c r="C12" s="58">
        <f>INDEX(tblMatières[Quantité générée (tonnes)],MATCH($B12,tblMatières[Matière],0))</f>
        <v>6696.5619999999999</v>
      </c>
      <c r="D12" s="26">
        <f>INDEX(tblMatières[Quantité récupérée (tonnes)],MATCH($B12,tblMatières[Matière],0))</f>
        <v>5734.7024889441509</v>
      </c>
      <c r="E12" s="26">
        <f t="shared" si="0"/>
        <v>961.859511055849</v>
      </c>
      <c r="F12" s="48">
        <f>INDEX(tblMatières[Quantité déclarée (tonnes)],MATCH($B12,tblMatières[Matière],0))</f>
        <v>6696.5619999999999</v>
      </c>
      <c r="G12" s="564">
        <f t="shared" si="1"/>
        <v>3.449058834761691E-2</v>
      </c>
      <c r="H12" s="288">
        <f t="shared" si="2"/>
        <v>432938.63483298325</v>
      </c>
      <c r="J12" s="428"/>
    </row>
    <row r="13" spans="1:10">
      <c r="A13" s="38"/>
      <c r="B13" s="37" t="str">
        <f>INDEX(ListeMatières,4)</f>
        <v>Annuaires téléphoniques</v>
      </c>
      <c r="C13" s="58">
        <f>INDEX(tblMatières[Quantité générée (tonnes)],MATCH($B13,tblMatières[Matière],0))</f>
        <v>587.05999999999995</v>
      </c>
      <c r="D13" s="26">
        <f>INDEX(tblMatières[Quantité récupérée (tonnes)],MATCH($B13,tblMatières[Matière],0))</f>
        <v>478.80496393624605</v>
      </c>
      <c r="E13" s="26">
        <f t="shared" si="0"/>
        <v>108.25503606375389</v>
      </c>
      <c r="F13" s="48">
        <f>INDEX(tblMatières[Quantité déclarée (tonnes)],MATCH($B13,tblMatières[Matière],0))</f>
        <v>587.05999999999995</v>
      </c>
      <c r="G13" s="564">
        <f t="shared" si="1"/>
        <v>3.881834969155451E-3</v>
      </c>
      <c r="H13" s="288">
        <f t="shared" si="2"/>
        <v>48726.229754477812</v>
      </c>
      <c r="J13" s="428"/>
    </row>
    <row r="14" spans="1:10">
      <c r="A14" s="38"/>
      <c r="B14" s="37" t="str">
        <f>INDEX(ListeMatières,5)</f>
        <v>Papier à usage général</v>
      </c>
      <c r="C14" s="58">
        <f>INDEX(tblMatières[Quantité générée (tonnes)],MATCH($B14,tblMatières[Matière],0))</f>
        <v>4563.4139999999998</v>
      </c>
      <c r="D14" s="26">
        <f>INDEX(tblMatières[Quantité récupérée (tonnes)],MATCH($B14,tblMatières[Matière],0))</f>
        <v>2592.2165645758855</v>
      </c>
      <c r="E14" s="26">
        <f t="shared" si="0"/>
        <v>1971.1974354241142</v>
      </c>
      <c r="F14" s="48">
        <f>INDEX(tblMatières[Quantité déclarée (tonnes)],MATCH($B14,tblMatières[Matière],0))</f>
        <v>4563.4139999999998</v>
      </c>
      <c r="G14" s="564">
        <f t="shared" si="1"/>
        <v>7.0683668992844922E-2</v>
      </c>
      <c r="H14" s="288">
        <f t="shared" si="2"/>
        <v>887247.58332117985</v>
      </c>
      <c r="J14" s="428"/>
    </row>
    <row r="15" spans="1:10">
      <c r="A15" s="38"/>
      <c r="B15" s="37" t="str">
        <f>INDEX(ListeMatières,6)</f>
        <v>Autres imprimés</v>
      </c>
      <c r="C15" s="58">
        <f>INDEX(tblMatières[Quantité générée (tonnes)],MATCH($B15,tblMatières[Matière],0))</f>
        <v>23867.183000000001</v>
      </c>
      <c r="D15" s="26">
        <f>INDEX(tblMatières[Quantité récupérée (tonnes)],MATCH($B15,tblMatières[Matière],0))</f>
        <v>14881.538945703809</v>
      </c>
      <c r="E15" s="26">
        <f t="shared" si="0"/>
        <v>8985.6440542961918</v>
      </c>
      <c r="F15" s="48">
        <f>INDEX(tblMatières[Quantité déclarée (tonnes)],MATCH($B15,tblMatières[Matière],0))</f>
        <v>23867.183000000001</v>
      </c>
      <c r="G15" s="564">
        <f t="shared" si="1"/>
        <v>0.32220937314924192</v>
      </c>
      <c r="H15" s="288">
        <f t="shared" si="2"/>
        <v>4044491.3474855954</v>
      </c>
      <c r="J15" s="428"/>
    </row>
    <row r="16" spans="1:10" ht="15.75" thickBot="1">
      <c r="A16" s="55" t="str">
        <f>'Sommaire exécutif'!$A15</f>
        <v>IMPRIMÉS TOTAL</v>
      </c>
      <c r="B16" s="20"/>
      <c r="C16" s="429">
        <f t="shared" ref="C16:E16" si="3">SUBTOTAL(9,C10:C15)</f>
        <v>140337.019</v>
      </c>
      <c r="D16" s="429">
        <f t="shared" si="3"/>
        <v>112449.42539441548</v>
      </c>
      <c r="E16" s="429">
        <f t="shared" si="3"/>
        <v>27887.593605584509</v>
      </c>
      <c r="F16" s="28">
        <f>SUBTOTAL(9,F10:F15)</f>
        <v>140337.019</v>
      </c>
      <c r="G16" s="565">
        <f t="shared" ref="G16:H16" si="4">SUBTOTAL(9,G10:G15)</f>
        <v>1</v>
      </c>
      <c r="H16" s="289">
        <f t="shared" si="4"/>
        <v>12552370.242849067</v>
      </c>
    </row>
    <row r="17" spans="1:10">
      <c r="A17" s="38"/>
      <c r="B17" s="35"/>
      <c r="C17" s="38"/>
      <c r="D17" s="35"/>
      <c r="E17" s="35"/>
      <c r="F17" s="39"/>
      <c r="G17" s="66"/>
      <c r="H17" s="287"/>
    </row>
    <row r="18" spans="1:10">
      <c r="A18" s="43" t="str">
        <f>'Sommaire exécutif'!$A17</f>
        <v>CONTENANTS ET EMBALLAGES</v>
      </c>
      <c r="B18" s="11"/>
      <c r="C18" s="34"/>
      <c r="D18" s="11"/>
      <c r="E18" s="11"/>
      <c r="F18" s="45"/>
      <c r="G18" s="67"/>
      <c r="H18" s="294"/>
    </row>
    <row r="19" spans="1:10">
      <c r="A19" s="46" t="str">
        <f>'Sommaire exécutif'!$A18</f>
        <v>Papier et carton</v>
      </c>
      <c r="B19" s="37" t="str">
        <f>INDEX(ListeMatières,7)</f>
        <v>Carton ondulé</v>
      </c>
      <c r="C19" s="58">
        <f>INDEX(tblMatières[Quantité générée (tonnes)],MATCH($B19,tblMatières[Matière],0))</f>
        <v>57058.644</v>
      </c>
      <c r="D19" s="26">
        <f>INDEX(tblMatières[Quantité récupérée (tonnes)],MATCH($B19,tblMatières[Matière],0))</f>
        <v>44212.244562092688</v>
      </c>
      <c r="E19" s="26">
        <f t="shared" ref="E19:E25" si="5">C19-D19</f>
        <v>12846.399437907312</v>
      </c>
      <c r="F19" s="48">
        <f>INDEX(tblMatières[Quantité déclarée (tonnes)],MATCH($B19,tblMatières[Matière],0))</f>
        <v>57058.644</v>
      </c>
      <c r="G19" s="566">
        <f t="shared" ref="G19:G25" si="6">E19/$E$48</f>
        <v>6.7088321438317389E-2</v>
      </c>
      <c r="H19" s="288">
        <f t="shared" ref="H19:H25" si="7">G19*$H$54</f>
        <v>2980865.1305311783</v>
      </c>
      <c r="J19" s="428"/>
    </row>
    <row r="20" spans="1:10">
      <c r="A20" s="46"/>
      <c r="B20" s="37" t="str">
        <f>INDEX(ListeMatières,8)</f>
        <v>Sacs de papier kraft</v>
      </c>
      <c r="C20" s="58">
        <f>INDEX(tblMatières[Quantité générée (tonnes)],MATCH($B20,tblMatières[Matière],0))</f>
        <v>3143.279</v>
      </c>
      <c r="D20" s="26">
        <f>INDEX(tblMatières[Quantité récupérée (tonnes)],MATCH($B20,tblMatières[Matière],0))</f>
        <v>1296.6666443451525</v>
      </c>
      <c r="E20" s="26">
        <f t="shared" si="5"/>
        <v>1846.6123556548475</v>
      </c>
      <c r="F20" s="48">
        <f>INDEX(tblMatières[Quantité déclarée (tonnes)],MATCH($B20,tblMatières[Matière],0))</f>
        <v>3143.279</v>
      </c>
      <c r="G20" s="564">
        <f t="shared" si="6"/>
        <v>9.6436455901080121E-3</v>
      </c>
      <c r="H20" s="288">
        <f t="shared" si="7"/>
        <v>428486.00552905287</v>
      </c>
      <c r="J20" s="428"/>
    </row>
    <row r="21" spans="1:10">
      <c r="A21" s="46"/>
      <c r="B21" s="37" t="str">
        <f>INDEX(ListeMatières,9)</f>
        <v>Emballages de papier kraft</v>
      </c>
      <c r="C21" s="58">
        <f>INDEX(tblMatières[Quantité générée (tonnes)],MATCH($B21,tblMatières[Matière],0))</f>
        <v>1981.269</v>
      </c>
      <c r="D21" s="26">
        <f>INDEX(tblMatières[Quantité récupérée (tonnes)],MATCH($B21,tblMatières[Matière],0))</f>
        <v>459.17324899062658</v>
      </c>
      <c r="E21" s="26">
        <f t="shared" si="5"/>
        <v>1522.0957510093735</v>
      </c>
      <c r="F21" s="48">
        <f>INDEX(tblMatières[Quantité déclarée (tonnes)],MATCH($B21,tblMatières[Matière],0))</f>
        <v>1981.269</v>
      </c>
      <c r="G21" s="564">
        <f t="shared" si="6"/>
        <v>7.9489081354805324E-3</v>
      </c>
      <c r="H21" s="288">
        <f t="shared" si="7"/>
        <v>353185.51096311043</v>
      </c>
      <c r="J21" s="428"/>
    </row>
    <row r="22" spans="1:10">
      <c r="A22" s="46"/>
      <c r="B22" s="37" t="str">
        <f>INDEX(ListeMatières,10)</f>
        <v>Carton plat et autres emballages de papier</v>
      </c>
      <c r="C22" s="58">
        <f>INDEX(tblMatières[Quantité générée (tonnes)],MATCH($B22,tblMatières[Matière],0))</f>
        <v>89357.737999999998</v>
      </c>
      <c r="D22" s="26">
        <f>INDEX(tblMatières[Quantité récupérée (tonnes)],MATCH($B22,tblMatières[Matière],0))</f>
        <v>55290.317194879237</v>
      </c>
      <c r="E22" s="26">
        <f t="shared" si="5"/>
        <v>34067.420805120761</v>
      </c>
      <c r="F22" s="48">
        <f>INDEX(tblMatières[Quantité déclarée (tonnes)],MATCH($B22,tblMatières[Matière],0))</f>
        <v>89357.737999999998</v>
      </c>
      <c r="G22" s="564">
        <f t="shared" si="6"/>
        <v>0.17791180233772</v>
      </c>
      <c r="H22" s="288">
        <f t="shared" si="7"/>
        <v>7904968.8012549849</v>
      </c>
      <c r="J22" s="428"/>
    </row>
    <row r="23" spans="1:10">
      <c r="A23" s="46"/>
      <c r="B23" s="37" t="str">
        <f>INDEX(ListeMatières,11)</f>
        <v>Contenants à pignon</v>
      </c>
      <c r="C23" s="58">
        <f>INDEX(tblMatières[Quantité générée (tonnes)],MATCH($B23,tblMatières[Matière],0))</f>
        <v>10642.311</v>
      </c>
      <c r="D23" s="26">
        <f>INDEX(tblMatières[Quantité récupérée (tonnes)],MATCH($B23,tblMatières[Matière],0))</f>
        <v>8288.6371859637784</v>
      </c>
      <c r="E23" s="26">
        <f t="shared" si="5"/>
        <v>2353.6738140362213</v>
      </c>
      <c r="F23" s="48">
        <f>INDEX(tblMatières[Quantité déclarée (tonnes)],MATCH($B23,tblMatières[Matière],0))</f>
        <v>10642.311</v>
      </c>
      <c r="G23" s="564">
        <f t="shared" si="6"/>
        <v>1.2291695129069968E-2</v>
      </c>
      <c r="H23" s="288">
        <f t="shared" si="7"/>
        <v>546144.01761493157</v>
      </c>
      <c r="J23" s="428"/>
    </row>
    <row r="24" spans="1:10">
      <c r="A24" s="46"/>
      <c r="B24" s="37" t="str">
        <f>INDEX(ListeMatières,12)</f>
        <v>Laminés de papier</v>
      </c>
      <c r="C24" s="58">
        <f>INDEX(tblMatières[Quantité générée (tonnes)],MATCH($B24,tblMatières[Matière],0))</f>
        <v>13221.805</v>
      </c>
      <c r="D24" s="26">
        <f>INDEX(tblMatières[Quantité récupérée (tonnes)],MATCH($B24,tblMatières[Matière],0))</f>
        <v>4420.5794650618791</v>
      </c>
      <c r="E24" s="26">
        <f t="shared" si="5"/>
        <v>8801.2255349381212</v>
      </c>
      <c r="F24" s="48">
        <f>INDEX(tblMatières[Quantité déclarée (tonnes)],MATCH($B24,tblMatières[Matière],0))</f>
        <v>13221.805</v>
      </c>
      <c r="G24" s="564">
        <f t="shared" si="6"/>
        <v>4.5963030387854882E-2</v>
      </c>
      <c r="H24" s="288">
        <f t="shared" si="7"/>
        <v>2042227.1960205692</v>
      </c>
      <c r="J24" s="428"/>
    </row>
    <row r="25" spans="1:10">
      <c r="A25" s="46"/>
      <c r="B25" s="37" t="str">
        <f>INDEX(ListeMatières,13)</f>
        <v>Contenants aseptiques</v>
      </c>
      <c r="C25" s="58">
        <f>INDEX(tblMatières[Quantité générée (tonnes)],MATCH($B25,tblMatières[Matière],0))</f>
        <v>5960.89</v>
      </c>
      <c r="D25" s="26">
        <f>INDEX(tblMatières[Quantité récupérée (tonnes)],MATCH($B25,tblMatières[Matière],0))</f>
        <v>3275.4908245800875</v>
      </c>
      <c r="E25" s="26">
        <f t="shared" si="5"/>
        <v>2685.3991754199128</v>
      </c>
      <c r="F25" s="48">
        <f>INDEX(tblMatières[Quantité déclarée (tonnes)],MATCH($B25,tblMatières[Matière],0))</f>
        <v>5960.89</v>
      </c>
      <c r="G25" s="564">
        <f t="shared" si="6"/>
        <v>1.4024079193672621E-2</v>
      </c>
      <c r="H25" s="288">
        <f t="shared" si="7"/>
        <v>623117.22457778314</v>
      </c>
      <c r="J25" s="428"/>
    </row>
    <row r="26" spans="1:10">
      <c r="A26" s="43" t="str">
        <f>'Sommaire exécutif'!$A25</f>
        <v>Papier et carton TOTAL</v>
      </c>
      <c r="B26" s="10"/>
      <c r="C26" s="60">
        <f t="shared" ref="C26:E26" si="8">SUBTOTAL(9,C19:C25)</f>
        <v>181365.93599999999</v>
      </c>
      <c r="D26" s="22">
        <f t="shared" si="8"/>
        <v>117243.10912591344</v>
      </c>
      <c r="E26" s="22">
        <f t="shared" si="8"/>
        <v>64122.826874086553</v>
      </c>
      <c r="F26" s="29">
        <f>SUBTOTAL(9,F19:F25)</f>
        <v>181365.93599999999</v>
      </c>
      <c r="G26" s="567">
        <f t="shared" ref="G26:H26" si="9">SUBTOTAL(9,G19:G25)</f>
        <v>0.3348714822122234</v>
      </c>
      <c r="H26" s="290">
        <f t="shared" si="9"/>
        <v>14878993.88649161</v>
      </c>
    </row>
    <row r="27" spans="1:10">
      <c r="A27" s="46" t="str">
        <f>'Sommaire exécutif'!$A26</f>
        <v>Plastique</v>
      </c>
      <c r="B27" s="37" t="str">
        <f>INDEX(ListeMatières,14)</f>
        <v>Bouteilles PET</v>
      </c>
      <c r="C27" s="58">
        <f>INDEX(tblMatières[Quantité générée (tonnes)],MATCH($B27,tblMatières[Matière],0))</f>
        <v>28454.071</v>
      </c>
      <c r="D27" s="26">
        <f>INDEX(tblMatières[Quantité récupérée (tonnes)],MATCH($B27,tblMatières[Matière],0))</f>
        <v>19296.023522834832</v>
      </c>
      <c r="E27" s="26">
        <f t="shared" ref="E27:E36" si="10">C27-D27</f>
        <v>9158.0474771651679</v>
      </c>
      <c r="F27" s="48">
        <f>INDEX(tblMatières[Quantité déclarée (tonnes)],MATCH($B27,tblMatières[Matière],0))</f>
        <v>28454.071</v>
      </c>
      <c r="G27" s="564">
        <f t="shared" ref="G27:G37" si="11">E27/$E$48</f>
        <v>4.7826477439464887E-2</v>
      </c>
      <c r="H27" s="288">
        <f t="shared" ref="H27:H37" si="12">G27*$H$54</f>
        <v>2125023.7874339125</v>
      </c>
      <c r="J27" s="428"/>
    </row>
    <row r="28" spans="1:10">
      <c r="A28" s="38"/>
      <c r="B28" s="37" t="str">
        <f>INDEX(ListeMatières,15)</f>
        <v>Bouteilles HDPE</v>
      </c>
      <c r="C28" s="58">
        <f>INDEX(tblMatières[Quantité générée (tonnes)],MATCH($B28,tblMatières[Matière],0))</f>
        <v>19105.120999999999</v>
      </c>
      <c r="D28" s="26">
        <f>INDEX(tblMatières[Quantité récupérée (tonnes)],MATCH($B28,tblMatières[Matière],0))</f>
        <v>12997.599355643866</v>
      </c>
      <c r="E28" s="26">
        <f t="shared" si="10"/>
        <v>6107.521644356133</v>
      </c>
      <c r="F28" s="48">
        <f>INDEX(tblMatières[Quantité déclarée (tonnes)],MATCH($B28,tblMatières[Matière],0))</f>
        <v>19105.120999999999</v>
      </c>
      <c r="G28" s="564">
        <f t="shared" si="11"/>
        <v>3.1895581111931588E-2</v>
      </c>
      <c r="H28" s="288">
        <f t="shared" si="12"/>
        <v>1417182.9539959691</v>
      </c>
      <c r="J28" s="428"/>
    </row>
    <row r="29" spans="1:10">
      <c r="A29" s="38"/>
      <c r="B29" s="37" t="str">
        <f>INDEX(ListeMatières,16)</f>
        <v>Plastiques stratifiés</v>
      </c>
      <c r="C29" s="58">
        <f>INDEX(tblMatières[Quantité générée (tonnes)],MATCH($B29,tblMatières[Matière],0))</f>
        <v>18345.511999999999</v>
      </c>
      <c r="D29" s="26">
        <f>INDEX(tblMatières[Quantité récupérée (tonnes)],MATCH($B29,tblMatières[Matière],0))</f>
        <v>2963.9007205395051</v>
      </c>
      <c r="E29" s="26">
        <f t="shared" si="10"/>
        <v>15381.611279460494</v>
      </c>
      <c r="F29" s="48">
        <f>INDEX(tblMatières[Quantité déclarée (tonnes)],MATCH($B29,tblMatières[Matière],0))</f>
        <v>18345.511999999999</v>
      </c>
      <c r="G29" s="564">
        <f t="shared" si="11"/>
        <v>8.0328070658512524E-2</v>
      </c>
      <c r="H29" s="288">
        <f t="shared" si="12"/>
        <v>3569133.0427600294</v>
      </c>
      <c r="J29" s="428"/>
    </row>
    <row r="30" spans="1:10">
      <c r="A30" s="38"/>
      <c r="B30" s="37" t="str">
        <f>INDEX(ListeMatières,17)</f>
        <v>Pellicules HDPE et LDPE</v>
      </c>
      <c r="C30" s="58">
        <f>INDEX(tblMatières[Quantité générée (tonnes)],MATCH($B30,tblMatières[Matière],0))</f>
        <v>20600.752</v>
      </c>
      <c r="D30" s="26">
        <f>INDEX(tblMatières[Quantité récupérée (tonnes)],MATCH($B30,tblMatières[Matière],0))</f>
        <v>7167.664015781269</v>
      </c>
      <c r="E30" s="26">
        <f t="shared" si="10"/>
        <v>13433.087984218731</v>
      </c>
      <c r="F30" s="48">
        <f>INDEX(tblMatières[Quantité déclarée (tonnes)],MATCH($B30,tblMatières[Matière],0))</f>
        <v>20600.752</v>
      </c>
      <c r="G30" s="564">
        <f t="shared" si="11"/>
        <v>7.0152211049516605E-2</v>
      </c>
      <c r="H30" s="288">
        <f t="shared" si="12"/>
        <v>3116999.7290725596</v>
      </c>
      <c r="J30" s="428"/>
    </row>
    <row r="31" spans="1:10">
      <c r="A31" s="38"/>
      <c r="B31" s="37" t="str">
        <f>INDEX(ListeMatières,18)</f>
        <v>Sacs d'emplettes de pellicules HDPE et LDPE</v>
      </c>
      <c r="C31" s="58">
        <f>INDEX(tblMatières[Quantité générée (tonnes)],MATCH($B31,tblMatières[Matière],0))</f>
        <v>8808.5460000000003</v>
      </c>
      <c r="D31" s="26">
        <f>INDEX(tblMatières[Quantité récupérée (tonnes)],MATCH($B31,tblMatières[Matière],0))</f>
        <v>1388.0863033855567</v>
      </c>
      <c r="E31" s="26">
        <f t="shared" si="10"/>
        <v>7420.4596966144436</v>
      </c>
      <c r="F31" s="48">
        <f>INDEX(tblMatières[Quantité déclarée (tonnes)],MATCH($B31,tblMatières[Matière],0))</f>
        <v>8808.5460000000003</v>
      </c>
      <c r="G31" s="564">
        <f t="shared" si="11"/>
        <v>3.8752195722449465E-2</v>
      </c>
      <c r="H31" s="288">
        <f t="shared" si="12"/>
        <v>1721835.7306312458</v>
      </c>
      <c r="J31" s="428"/>
    </row>
    <row r="32" spans="1:10">
      <c r="A32" s="38"/>
      <c r="B32" s="37" t="str">
        <f>INDEX(ListeMatières,19)</f>
        <v>Polystyrène expansé alimentaire</v>
      </c>
      <c r="C32" s="58">
        <f>INDEX(tblMatières[Quantité générée (tonnes)],MATCH($B32,tblMatières[Matière],0))</f>
        <v>3577.489</v>
      </c>
      <c r="D32" s="26">
        <f>INDEX(tblMatières[Quantité récupérée (tonnes)],MATCH($B32,tblMatières[Matière],0))</f>
        <v>412.94510310858072</v>
      </c>
      <c r="E32" s="26">
        <f t="shared" si="10"/>
        <v>3164.5438968914195</v>
      </c>
      <c r="F32" s="48">
        <f>INDEX(tblMatières[Quantité déclarée (tonnes)],MATCH($B32,tblMatières[Matière],0))</f>
        <v>3577.489</v>
      </c>
      <c r="G32" s="564">
        <f t="shared" si="11"/>
        <v>1.6526337919545615E-2</v>
      </c>
      <c r="H32" s="288">
        <f t="shared" si="12"/>
        <v>734297.46614009549</v>
      </c>
      <c r="J32" s="428"/>
    </row>
    <row r="33" spans="1:10">
      <c r="A33" s="250"/>
      <c r="B33" s="37" t="str">
        <f>INDEX(ListeMatières,20)</f>
        <v>Polystyrène expansé de protection</v>
      </c>
      <c r="C33" s="58">
        <f>INDEX(tblMatières[Quantité générée (tonnes)],MATCH($B33,tblMatières[Matière],0))</f>
        <v>1653.914</v>
      </c>
      <c r="D33" s="26">
        <f>INDEX(tblMatières[Quantité récupérée (tonnes)],MATCH($B33,tblMatières[Matière],0))</f>
        <v>620.3989827377784</v>
      </c>
      <c r="E33" s="26">
        <f>C33-D33</f>
        <v>1033.5150172622216</v>
      </c>
      <c r="F33" s="48">
        <f>INDEX(tblMatières[Quantité déclarée (tonnes)],MATCH($B33,tblMatières[Matière],0))</f>
        <v>1653.914</v>
      </c>
      <c r="G33" s="564">
        <f t="shared" si="11"/>
        <v>5.3973713042750511E-3</v>
      </c>
      <c r="H33" s="288">
        <f t="shared" si="12"/>
        <v>239815.74695136095</v>
      </c>
      <c r="J33" s="428"/>
    </row>
    <row r="34" spans="1:10">
      <c r="A34" s="38"/>
      <c r="B34" s="37" t="str">
        <f>INDEX(ListeMatières,21)</f>
        <v>Polystyrène non expansé</v>
      </c>
      <c r="C34" s="58">
        <f>INDEX(tblMatières[Quantité générée (tonnes)],MATCH($B34,tblMatières[Matière],0))</f>
        <v>4424.2470000000003</v>
      </c>
      <c r="D34" s="26">
        <f>INDEX(tblMatières[Quantité récupérée (tonnes)],MATCH($B34,tblMatières[Matière],0))</f>
        <v>1100.7673069345703</v>
      </c>
      <c r="E34" s="26">
        <f t="shared" si="10"/>
        <v>3323.4796930654302</v>
      </c>
      <c r="F34" s="48">
        <f>INDEX(tblMatières[Quantité déclarée (tonnes)],MATCH($B34,tblMatières[Matière],0))</f>
        <v>4424.2470000000003</v>
      </c>
      <c r="G34" s="564">
        <f t="shared" si="11"/>
        <v>1.7356355375667459E-2</v>
      </c>
      <c r="H34" s="288">
        <f t="shared" si="12"/>
        <v>771176.76256071927</v>
      </c>
      <c r="J34" s="428"/>
    </row>
    <row r="35" spans="1:10">
      <c r="A35" s="38"/>
      <c r="B35" s="37" t="str">
        <f>INDEX(ListeMatières,22)</f>
        <v>Contenants de PET</v>
      </c>
      <c r="C35" s="58">
        <f>INDEX(tblMatières[Quantité générée (tonnes)],MATCH($B35,tblMatières[Matière],0))</f>
        <v>7889.152</v>
      </c>
      <c r="D35" s="26">
        <f>INDEX(tblMatières[Quantité récupérée (tonnes)],MATCH($B35,tblMatières[Matière],0))</f>
        <v>4517.3086635484415</v>
      </c>
      <c r="E35" s="26">
        <f t="shared" si="10"/>
        <v>3371.8433364515586</v>
      </c>
      <c r="F35" s="48">
        <f>INDEX(tblMatières[Quantité déclarée (tonnes)],MATCH($B35,tblMatières[Matière],0))</f>
        <v>7889.152</v>
      </c>
      <c r="G35" s="564">
        <f t="shared" si="11"/>
        <v>1.7608926975133877E-2</v>
      </c>
      <c r="H35" s="288">
        <f t="shared" si="12"/>
        <v>782399.01194288849</v>
      </c>
      <c r="J35" s="428"/>
    </row>
    <row r="36" spans="1:10">
      <c r="A36" s="38"/>
      <c r="B36" s="37" t="str">
        <f>INDEX(ListeMatières,23)</f>
        <v>PVC, acide polylactique (PLA) et autres plastiques dégradables</v>
      </c>
      <c r="C36" s="58">
        <f>INDEX(tblMatières[Quantité générée (tonnes)],MATCH($B36,tblMatières[Matière],0))</f>
        <v>491.197</v>
      </c>
      <c r="D36" s="26">
        <f>INDEX(tblMatières[Quantité récupérée (tonnes)],MATCH($B36,tblMatières[Matière],0))</f>
        <v>268.19356200000004</v>
      </c>
      <c r="E36" s="26">
        <f t="shared" si="10"/>
        <v>223.00343799999996</v>
      </c>
      <c r="F36" s="48">
        <f>INDEX(tblMatières[Quantité déclarée (tonnes)],MATCH($B36,tblMatières[Matière],0))</f>
        <v>491.197</v>
      </c>
      <c r="G36" s="564">
        <f t="shared" si="11"/>
        <v>1.1646007430102941E-3</v>
      </c>
      <c r="H36" s="288">
        <f t="shared" si="12"/>
        <v>51745.485226096833</v>
      </c>
      <c r="J36" s="428"/>
    </row>
    <row r="37" spans="1:10">
      <c r="A37" s="250"/>
      <c r="B37" s="37" t="str">
        <f>INDEX(ListeMatières,24)</f>
        <v>Autres plastiques, polymères et polyuréthanne</v>
      </c>
      <c r="C37" s="58">
        <f>INDEX(tblMatières[Quantité générée (tonnes)],MATCH($B37,tblMatières[Matière],0))</f>
        <v>33909.735999999997</v>
      </c>
      <c r="D37" s="26">
        <f>INDEX(tblMatières[Quantité récupérée (tonnes)],MATCH($B37,tblMatières[Matière],0))</f>
        <v>14808.56401630154</v>
      </c>
      <c r="E37" s="26">
        <f t="shared" ref="E37" si="13">C37-D37</f>
        <v>19101.171983698456</v>
      </c>
      <c r="F37" s="48">
        <f>INDEX(tblMatières[Quantité déclarée (tonnes)],MATCH($B37,tblMatières[Matière],0))</f>
        <v>33909.735999999997</v>
      </c>
      <c r="G37" s="564">
        <f t="shared" si="11"/>
        <v>9.9752897462426743E-2</v>
      </c>
      <c r="H37" s="288">
        <f t="shared" si="12"/>
        <v>4432216.0301564643</v>
      </c>
      <c r="J37" s="428"/>
    </row>
    <row r="38" spans="1:10">
      <c r="A38" s="43" t="str">
        <f>'Sommaire exécutif'!$A37</f>
        <v>Plastique TOTAL</v>
      </c>
      <c r="B38" s="10"/>
      <c r="C38" s="61">
        <f t="shared" ref="C38:G38" si="14">SUBTOTAL(9,C27:C36)</f>
        <v>113350.00100000002</v>
      </c>
      <c r="D38" s="24">
        <f t="shared" si="14"/>
        <v>50732.887536514405</v>
      </c>
      <c r="E38" s="24">
        <f t="shared" si="14"/>
        <v>62617.113463485606</v>
      </c>
      <c r="F38" s="29">
        <f t="shared" si="14"/>
        <v>113350.00100000002</v>
      </c>
      <c r="G38" s="567">
        <f t="shared" si="14"/>
        <v>0.32700812829950737</v>
      </c>
      <c r="H38" s="290">
        <f>SUBTOTAL(9,H27:H37)</f>
        <v>18961825.746871341</v>
      </c>
    </row>
    <row r="39" spans="1:10">
      <c r="A39" s="46" t="str">
        <f>'Sommaire exécutif'!$A38</f>
        <v>Aluminium</v>
      </c>
      <c r="B39" s="37" t="str">
        <f>INDEX(ListeMatières,25)</f>
        <v>Contenants pour aliments et breuvages en aluminium</v>
      </c>
      <c r="C39" s="58">
        <f>INDEX(tblMatières[Quantité générée (tonnes)],MATCH($B39,tblMatières[Matière],0))</f>
        <v>2854.9569999999999</v>
      </c>
      <c r="D39" s="26">
        <f>INDEX(tblMatières[Quantité récupérée (tonnes)],MATCH($B39,tblMatières[Matière],0))</f>
        <v>1376.4950426958128</v>
      </c>
      <c r="E39" s="26">
        <f>C39-D39</f>
        <v>1478.4619573041871</v>
      </c>
      <c r="F39" s="48">
        <f>INDEX(tblMatières[Quantité déclarée (tonnes)],MATCH($B39,tblMatières[Matière],0))</f>
        <v>2854.9569999999999</v>
      </c>
      <c r="G39" s="564">
        <f>E39/$E$48</f>
        <v>7.7210374397407742E-3</v>
      </c>
      <c r="H39" s="288">
        <f>G39*$H$54</f>
        <v>343060.77096905583</v>
      </c>
      <c r="J39" s="428"/>
    </row>
    <row r="40" spans="1:10">
      <c r="A40" s="46"/>
      <c r="B40" s="37" t="str">
        <f>INDEX(ListeMatières,26)</f>
        <v>Autres contenants et emballages en aluminium</v>
      </c>
      <c r="C40" s="58">
        <f>INDEX(tblMatières[Quantité générée (tonnes)],MATCH($B40,tblMatières[Matière],0))</f>
        <v>4823.9380000000001</v>
      </c>
      <c r="D40" s="26">
        <f>INDEX(tblMatières[Quantité récupérée (tonnes)],MATCH($B40,tblMatières[Matière],0))</f>
        <v>483.96942592726941</v>
      </c>
      <c r="E40" s="26">
        <f>C40-D40</f>
        <v>4339.9685740727309</v>
      </c>
      <c r="F40" s="48">
        <f>INDEX(tblMatières[Quantité déclarée (tonnes)],MATCH($B40,tblMatières[Matière],0))</f>
        <v>4823.9380000000001</v>
      </c>
      <c r="G40" s="564">
        <f>E40/$E$48</f>
        <v>2.2664810333580733E-2</v>
      </c>
      <c r="H40" s="288">
        <f>G40*$H$54</f>
        <v>1007041.7826087734</v>
      </c>
      <c r="J40" s="428"/>
    </row>
    <row r="41" spans="1:10">
      <c r="A41" s="43" t="str">
        <f>'Sommaire exécutif'!$A40</f>
        <v>Aluminium TOTAL</v>
      </c>
      <c r="B41" s="10"/>
      <c r="C41" s="60">
        <f t="shared" ref="C41:E41" si="15">SUBTOTAL(9,C39:C40)</f>
        <v>7678.8950000000004</v>
      </c>
      <c r="D41" s="22">
        <f t="shared" si="15"/>
        <v>1860.4644686230822</v>
      </c>
      <c r="E41" s="22">
        <f t="shared" si="15"/>
        <v>5818.4305313769182</v>
      </c>
      <c r="F41" s="29">
        <f>SUBTOTAL(9,F39:F40)</f>
        <v>7678.8950000000004</v>
      </c>
      <c r="G41" s="567">
        <f t="shared" ref="G41:H41" si="16">SUBTOTAL(9,G39:G40)</f>
        <v>3.0385847773321508E-2</v>
      </c>
      <c r="H41" s="290">
        <f t="shared" si="16"/>
        <v>1350102.5535778292</v>
      </c>
    </row>
    <row r="42" spans="1:10">
      <c r="A42" s="46" t="str">
        <f>'Sommaire exécutif'!$A41</f>
        <v>Acier</v>
      </c>
      <c r="B42" s="37" t="str">
        <f>INDEX(ListeMatières,27)</f>
        <v>Bombes aérosol en acier</v>
      </c>
      <c r="C42" s="58">
        <f>INDEX(tblMatières[Quantité générée (tonnes)],MATCH($B42,tblMatières[Matière],0))</f>
        <v>2430.7779999999998</v>
      </c>
      <c r="D42" s="26">
        <f>INDEX(tblMatières[Quantité récupérée (tonnes)],MATCH($B42,tblMatières[Matière],0))</f>
        <v>426.11538339999998</v>
      </c>
      <c r="E42" s="26">
        <f>C42-D42</f>
        <v>2004.6626165999999</v>
      </c>
      <c r="F42" s="48">
        <f>INDEX(tblMatières[Quantité déclarée (tonnes)],MATCH($B42,tblMatières[Matière],0))</f>
        <v>2430.7779999999998</v>
      </c>
      <c r="G42" s="564">
        <f>E42/$E$48</f>
        <v>1.0469038476336498E-2</v>
      </c>
      <c r="H42" s="288">
        <f>G42*$H$54</f>
        <v>465159.82327852689</v>
      </c>
      <c r="J42" s="428"/>
    </row>
    <row r="43" spans="1:10">
      <c r="A43" s="46"/>
      <c r="B43" s="37" t="str">
        <f>INDEX(ListeMatières,28)</f>
        <v>Autres contenants en acier</v>
      </c>
      <c r="C43" s="58">
        <f>INDEX(tblMatières[Quantité générée (tonnes)],MATCH($B43,tblMatières[Matière],0))</f>
        <v>23510.151000000002</v>
      </c>
      <c r="D43" s="26">
        <f>INDEX(tblMatières[Quantité récupérée (tonnes)],MATCH($B43,tblMatières[Matière],0))</f>
        <v>15248.302927500676</v>
      </c>
      <c r="E43" s="26">
        <f>C43-D43</f>
        <v>8261.848072499326</v>
      </c>
      <c r="F43" s="48">
        <f>INDEX(tblMatières[Quantité déclarée (tonnes)],MATCH($B43,tblMatières[Matière],0))</f>
        <v>23510.151000000002</v>
      </c>
      <c r="G43" s="564">
        <f>E43/$E$48</f>
        <v>4.3146215547900581E-2</v>
      </c>
      <c r="H43" s="288">
        <f>G43*$H$54</f>
        <v>1917070.6120493556</v>
      </c>
      <c r="J43" s="428"/>
    </row>
    <row r="44" spans="1:10">
      <c r="A44" s="43" t="str">
        <f>'Sommaire exécutif'!$A43</f>
        <v>Acier TOTAL</v>
      </c>
      <c r="B44" s="10"/>
      <c r="C44" s="60">
        <f t="shared" ref="C44:E44" si="17">SUBTOTAL(9,C42:C43)</f>
        <v>25940.929</v>
      </c>
      <c r="D44" s="22">
        <f t="shared" si="17"/>
        <v>15674.418310900675</v>
      </c>
      <c r="E44" s="22">
        <f t="shared" si="17"/>
        <v>10266.510689099327</v>
      </c>
      <c r="F44" s="29">
        <f>SUBTOTAL(9,F42:F43)</f>
        <v>25940.929</v>
      </c>
      <c r="G44" s="567">
        <f t="shared" ref="G44:H44" si="18">SUBTOTAL(9,G42:G43)</f>
        <v>5.3615254024237079E-2</v>
      </c>
      <c r="H44" s="290">
        <f t="shared" si="18"/>
        <v>2382230.4353278824</v>
      </c>
    </row>
    <row r="45" spans="1:10">
      <c r="A45" s="46" t="str">
        <f>'Sommaire exécutif'!$A44</f>
        <v>Verre</v>
      </c>
      <c r="B45" s="37" t="str">
        <f>INDEX(ListeMatières,29)</f>
        <v>Verre clair</v>
      </c>
      <c r="C45" s="58">
        <f>INDEX(tblMatières[Quantité générée (tonnes)],MATCH($B45,tblMatières[Matière],0))</f>
        <v>56442.516000000003</v>
      </c>
      <c r="D45" s="26">
        <f>INDEX(tblMatières[Quantité récupérée (tonnes)],MATCH($B45,tblMatières[Matière],0))</f>
        <v>44498.909088249253</v>
      </c>
      <c r="E45" s="26">
        <f>C45-D45</f>
        <v>11943.60691175075</v>
      </c>
      <c r="F45" s="48">
        <f>INDEX(tblMatières[Quantité déclarée (tonnes)],MATCH($B45,tblMatières[Matière],0))</f>
        <v>56442.516000000003</v>
      </c>
      <c r="G45" s="564">
        <f>E45/$E$48</f>
        <v>6.2373627996030322E-2</v>
      </c>
      <c r="H45" s="288">
        <f>G45*$H$54</f>
        <v>2771382.0941106146</v>
      </c>
      <c r="J45" s="428"/>
    </row>
    <row r="46" spans="1:10">
      <c r="A46" s="19"/>
      <c r="B46" s="233" t="str">
        <f>INDEX(ListeMatières,30)</f>
        <v>Verre coloré</v>
      </c>
      <c r="C46" s="58">
        <f>INDEX(tblMatières[Quantité générée (tonnes)],MATCH($B46,tblMatières[Matière],0))</f>
        <v>83245.164999999994</v>
      </c>
      <c r="D46" s="26">
        <f>INDEX(tblMatières[Quantité récupérée (tonnes)],MATCH($B46,tblMatières[Matière],0))</f>
        <v>65629.941609465241</v>
      </c>
      <c r="E46" s="26">
        <f>C46-D46</f>
        <v>17615.223390534753</v>
      </c>
      <c r="F46" s="48">
        <f>INDEX(tblMatières[Quantité déclarée (tonnes)],MATCH($B46,tblMatières[Matière],0))</f>
        <v>83245.164999999994</v>
      </c>
      <c r="G46" s="564">
        <f>E46/$E$48</f>
        <v>9.1992762232253528E-2</v>
      </c>
      <c r="H46" s="288">
        <f>G46*$H$54</f>
        <v>4087418.0680089407</v>
      </c>
      <c r="J46" s="428"/>
    </row>
    <row r="47" spans="1:10">
      <c r="A47" s="43" t="str">
        <f>'Sommaire exécutif'!$A46</f>
        <v>Verre TOTAL</v>
      </c>
      <c r="B47" s="10"/>
      <c r="C47" s="60">
        <f t="shared" ref="C47:E47" si="19">SUBTOTAL(9,C45:C46)</f>
        <v>139687.68099999998</v>
      </c>
      <c r="D47" s="22">
        <f t="shared" si="19"/>
        <v>110128.85069771449</v>
      </c>
      <c r="E47" s="22">
        <f t="shared" si="19"/>
        <v>29558.830302285503</v>
      </c>
      <c r="F47" s="29">
        <f>SUBTOTAL(9,F45:F46)</f>
        <v>139687.68099999998</v>
      </c>
      <c r="G47" s="567">
        <f t="shared" ref="G47:H47" si="20">SUBTOTAL(9,G45:G46)</f>
        <v>0.15436639022828386</v>
      </c>
      <c r="H47" s="290">
        <f t="shared" si="20"/>
        <v>6858800.1621195553</v>
      </c>
    </row>
    <row r="48" spans="1:10" ht="15.75" thickBot="1">
      <c r="A48" s="56" t="str">
        <f>'Sommaire exécutif'!$A47</f>
        <v>CONTENANTS ET EMBALLAGES TOTAL</v>
      </c>
      <c r="B48" s="23"/>
      <c r="C48" s="138">
        <f t="shared" ref="C48:H48" si="21">SUBTOTAL(9,C19:C47)</f>
        <v>501933.17799999984</v>
      </c>
      <c r="D48" s="27">
        <f t="shared" si="21"/>
        <v>310448.29415596765</v>
      </c>
      <c r="E48" s="27">
        <f t="shared" si="21"/>
        <v>191484.88384403236</v>
      </c>
      <c r="F48" s="139">
        <f t="shared" si="21"/>
        <v>501933.17799999984</v>
      </c>
      <c r="G48" s="565">
        <f t="shared" si="21"/>
        <v>0.99999999999999989</v>
      </c>
      <c r="H48" s="289">
        <f t="shared" si="21"/>
        <v>44431952.784388214</v>
      </c>
    </row>
    <row r="49" spans="1:8">
      <c r="A49" s="38"/>
      <c r="B49" s="35"/>
      <c r="C49" s="38"/>
      <c r="D49" s="35"/>
      <c r="E49" s="35"/>
      <c r="F49" s="39"/>
      <c r="G49" s="66"/>
      <c r="H49" s="287"/>
    </row>
    <row r="50" spans="1:8" ht="15.75" thickBot="1">
      <c r="A50" s="57" t="str">
        <f>'Sommaire exécutif'!$A49</f>
        <v>TOTAL</v>
      </c>
      <c r="B50" s="14"/>
      <c r="C50" s="62">
        <f t="shared" ref="C50:E50" si="22">SUBTOTAL(9,C10:C48)</f>
        <v>642270.19699999993</v>
      </c>
      <c r="D50" s="25">
        <f t="shared" si="22"/>
        <v>422897.71955038316</v>
      </c>
      <c r="E50" s="25">
        <f t="shared" si="22"/>
        <v>219372.47744961688</v>
      </c>
      <c r="F50" s="31">
        <f>SUBTOTAL(9,F10:F48)</f>
        <v>642270.19699999993</v>
      </c>
      <c r="G50" s="144"/>
      <c r="H50" s="293">
        <f>SUBTOTAL(9,H10:H48)</f>
        <v>56984323.027237281</v>
      </c>
    </row>
    <row r="51" spans="1:8" ht="15.75" thickTop="1">
      <c r="A51" s="38"/>
      <c r="B51" s="35"/>
      <c r="G51" s="37"/>
      <c r="H51" s="295"/>
    </row>
    <row r="52" spans="1:8">
      <c r="A52" s="42" t="s">
        <v>70</v>
      </c>
      <c r="B52" s="87"/>
      <c r="C52" s="86"/>
      <c r="D52" s="86"/>
      <c r="E52" s="86"/>
      <c r="F52" s="86"/>
      <c r="G52" s="86"/>
      <c r="H52" s="296"/>
    </row>
    <row r="53" spans="1:8">
      <c r="A53" s="90" t="str">
        <f>'Coûts nets'!B51</f>
        <v>Imprimés</v>
      </c>
      <c r="B53" s="88"/>
      <c r="C53" s="85"/>
      <c r="D53" s="85"/>
      <c r="E53" s="85"/>
      <c r="F53" s="85"/>
      <c r="G53" s="85"/>
      <c r="H53" s="297">
        <f>'Coûts nets'!$G51*$G$8</f>
        <v>12552370.242849067</v>
      </c>
    </row>
    <row r="54" spans="1:8">
      <c r="A54" s="91" t="str">
        <f>'Coûts nets'!B52</f>
        <v>Contenants et emballages</v>
      </c>
      <c r="B54" s="49"/>
      <c r="C54" s="54"/>
      <c r="D54" s="54"/>
      <c r="E54" s="54"/>
      <c r="F54" s="54"/>
      <c r="G54" s="54"/>
      <c r="H54" s="298">
        <f>'Coûts nets'!$G52*$G$8</f>
        <v>44431952.784388222</v>
      </c>
    </row>
  </sheetData>
  <mergeCells count="2">
    <mergeCell ref="G6:H6"/>
    <mergeCell ref="C6:F6"/>
  </mergeCells>
  <pageMargins left="0.7" right="0.7" top="0.75" bottom="0.75" header="0.3" footer="0.3"/>
  <pageSetup scale="55" fitToHeight="0" orientation="landscape" r:id="rId1"/>
  <ignoredErrors>
    <ignoredError sqref="C34:H36 C27:H32 C39:H40 C42:H43"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J54"/>
  <sheetViews>
    <sheetView showGridLines="0" zoomScale="80" zoomScaleNormal="80" zoomScaleSheetLayoutView="70" workbookViewId="0">
      <pane xSplit="2" ySplit="9" topLeftCell="C10" activePane="bottomRight" state="frozen"/>
      <selection pane="topRight" activeCell="C1" sqref="C1"/>
      <selection pane="bottomLeft" activeCell="A10" sqref="A10"/>
      <selection pane="bottomRight" activeCell="I10" sqref="I10:I48"/>
    </sheetView>
  </sheetViews>
  <sheetFormatPr baseColWidth="10" defaultColWidth="9.140625" defaultRowHeight="15"/>
  <cols>
    <col min="1" max="1" width="29.28515625" customWidth="1"/>
    <col min="2" max="2" width="64.5703125" bestFit="1" customWidth="1"/>
    <col min="3" max="3" width="16.85546875" customWidth="1"/>
    <col min="4" max="4" width="16.42578125" customWidth="1"/>
    <col min="5" max="5" width="12.85546875" bestFit="1" customWidth="1"/>
    <col min="6" max="6" width="16.140625" bestFit="1" customWidth="1"/>
    <col min="7" max="7" width="12.7109375" bestFit="1" customWidth="1"/>
    <col min="8" max="8" width="19" bestFit="1" customWidth="1"/>
    <col min="9" max="9" width="15.7109375" bestFit="1" customWidth="1"/>
    <col min="10" max="10" width="17.7109375" bestFit="1" customWidth="1"/>
  </cols>
  <sheetData>
    <row r="1" spans="1:10" s="149" customFormat="1" ht="15.75" thickBot="1">
      <c r="A1" s="4" t="s">
        <v>57</v>
      </c>
      <c r="B1" s="36"/>
    </row>
    <row r="2" spans="1:10" ht="6.75" customHeight="1" thickBot="1">
      <c r="A2" s="35"/>
      <c r="B2" s="35"/>
    </row>
    <row r="3" spans="1:10" ht="18.75" thickBot="1">
      <c r="A3" s="83" t="str">
        <f>Paramètres!B4</f>
        <v>Tarif</v>
      </c>
      <c r="B3" s="236">
        <f>AnnéeTarif</f>
        <v>2019</v>
      </c>
    </row>
    <row r="4" spans="1:10" ht="18.75" thickBot="1">
      <c r="A4" s="83" t="str">
        <f>Paramètres!B5</f>
        <v>Version</v>
      </c>
      <c r="B4" s="236" t="str">
        <f>Paramètres!C5</f>
        <v>Projet de Tarif</v>
      </c>
    </row>
    <row r="5" spans="1:10" ht="18.75" thickBot="1">
      <c r="A5" s="83" t="str">
        <f>Paramètres!B6</f>
        <v>Année civile de référence</v>
      </c>
      <c r="B5" s="84">
        <f>AnnéeRéf</f>
        <v>2018</v>
      </c>
    </row>
    <row r="6" spans="1:10" ht="15.75" customHeight="1">
      <c r="A6" s="94"/>
      <c r="B6" s="94"/>
      <c r="C6" s="623"/>
      <c r="D6" s="624"/>
      <c r="E6" s="611" t="s">
        <v>115</v>
      </c>
      <c r="F6" s="612"/>
      <c r="G6" s="612"/>
      <c r="H6" s="612"/>
      <c r="I6" s="612"/>
      <c r="J6" s="612"/>
    </row>
    <row r="7" spans="1:10" ht="45.75" thickBot="1">
      <c r="A7" s="256" t="str">
        <f>'Facteur 1'!A7</f>
        <v>CATÉGORIE</v>
      </c>
      <c r="B7" s="18" t="str">
        <f>'Facteur 1'!B7</f>
        <v>Matière</v>
      </c>
      <c r="C7" s="44" t="str">
        <f>'Facteur 1'!D7</f>
        <v xml:space="preserve">Quantité récupérée
(tonnes) </v>
      </c>
      <c r="D7" s="47" t="str">
        <f>'Facteur 1'!F7</f>
        <v>Quantité déclarée 
(tonnes)</v>
      </c>
      <c r="E7" s="245" t="s">
        <v>197</v>
      </c>
      <c r="F7" s="160" t="s">
        <v>199</v>
      </c>
      <c r="G7" s="160" t="s">
        <v>198</v>
      </c>
      <c r="H7" s="160" t="s">
        <v>200</v>
      </c>
      <c r="I7" s="160" t="str">
        <f>'Facteur 1'!G7</f>
        <v>Proportion par catégorie
(%)</v>
      </c>
      <c r="J7" s="160" t="s">
        <v>85</v>
      </c>
    </row>
    <row r="8" spans="1:10" ht="15.75" thickBot="1">
      <c r="A8" s="89"/>
      <c r="B8" s="161" t="s">
        <v>68</v>
      </c>
      <c r="C8" s="70"/>
      <c r="D8" s="71"/>
      <c r="E8" s="142">
        <v>0.4</v>
      </c>
      <c r="F8" s="143"/>
      <c r="G8" s="143"/>
      <c r="H8" s="143"/>
      <c r="I8" s="143"/>
      <c r="J8" s="143"/>
    </row>
    <row r="9" spans="1:10">
      <c r="A9" s="43" t="str">
        <f>'Facteur 1'!A9</f>
        <v>IMPRIMÉS</v>
      </c>
      <c r="B9" s="45"/>
      <c r="C9" s="75"/>
      <c r="D9" s="92"/>
      <c r="E9" s="115"/>
      <c r="F9" s="116"/>
      <c r="G9" s="116"/>
      <c r="H9" s="116"/>
      <c r="I9" s="74"/>
      <c r="J9" s="101"/>
    </row>
    <row r="10" spans="1:10">
      <c r="A10" s="38"/>
      <c r="B10" s="37" t="str">
        <f>INDEX(ListeMatières,1)</f>
        <v>Encarts et circulaires imprimés sur du papier journal</v>
      </c>
      <c r="C10" s="26">
        <f>INDEX(tblMatières[Quantité récupérée (tonnes)],MATCH($B10,tblMatières[Matière],0))</f>
        <v>79077.813804180056</v>
      </c>
      <c r="D10" s="48">
        <f>INDEX(tblMatières[Quantité déclarée (tonnes)],MATCH($B10,tblMatières[Matière],0))</f>
        <v>92875.491999999998</v>
      </c>
      <c r="E10" s="180">
        <f>INDEX(tblMatières[Coût brut],MATCH($B10,tblMatières[Matière],0))</f>
        <v>215.65465096683312</v>
      </c>
      <c r="F10" s="189">
        <f>INDEX(tblMatières[Revenu brut],MATCH($B10,tblMatières[Matière],0))</f>
        <v>78.408217918424057</v>
      </c>
      <c r="G10" s="189">
        <f t="shared" ref="G10:G15" si="0">E10-F10</f>
        <v>137.24643304840907</v>
      </c>
      <c r="H10" s="299">
        <f t="shared" ref="H10:H15" si="1">G10*C10</f>
        <v>10853147.877889957</v>
      </c>
      <c r="I10" s="568">
        <f t="shared" ref="I10:I15" si="2">$H10/$H$16</f>
        <v>0.69566621772760473</v>
      </c>
      <c r="J10" s="299">
        <f t="shared" ref="J10:J15" si="3">I10*$J$53</f>
        <v>8732259.9303593449</v>
      </c>
    </row>
    <row r="11" spans="1:10">
      <c r="A11" s="38"/>
      <c r="B11" s="37" t="str">
        <f>INDEX(ListeMatières,2)</f>
        <v>Catalogues et publications</v>
      </c>
      <c r="C11" s="26">
        <f>INDEX(tblMatières[Quantité récupérée (tonnes)],MATCH($B11,tblMatières[Matière],0))</f>
        <v>9684.3486270753401</v>
      </c>
      <c r="D11" s="48">
        <f>INDEX(tblMatières[Quantité déclarée (tonnes)],MATCH($B11,tblMatières[Matière],0))</f>
        <v>11747.308000000001</v>
      </c>
      <c r="E11" s="181">
        <f>INDEX(tblMatières[Coût brut],MATCH($B11,tblMatières[Matière],0))</f>
        <v>212.38542417294821</v>
      </c>
      <c r="F11" s="190">
        <f>INDEX(tblMatières[Revenu brut],MATCH($B11,tblMatières[Matière],0))</f>
        <v>75.102662076530478</v>
      </c>
      <c r="G11" s="197">
        <f t="shared" si="0"/>
        <v>137.28276209641774</v>
      </c>
      <c r="H11" s="300">
        <f t="shared" si="1"/>
        <v>1329494.1286295536</v>
      </c>
      <c r="I11" s="569">
        <f t="shared" si="2"/>
        <v>8.5218054923857992E-2</v>
      </c>
      <c r="J11" s="301">
        <f t="shared" si="3"/>
        <v>1069688.5767797125</v>
      </c>
    </row>
    <row r="12" spans="1:10">
      <c r="A12" s="38"/>
      <c r="B12" s="37" t="str">
        <f>INDEX(ListeMatières,3)</f>
        <v>Magazines</v>
      </c>
      <c r="C12" s="26">
        <f>INDEX(tblMatières[Quantité récupérée (tonnes)],MATCH($B12,tblMatières[Matière],0))</f>
        <v>5734.7024889441509</v>
      </c>
      <c r="D12" s="48">
        <f>INDEX(tblMatières[Quantité déclarée (tonnes)],MATCH($B12,tblMatières[Matière],0))</f>
        <v>6696.5619999999999</v>
      </c>
      <c r="E12" s="181">
        <f>INDEX(tblMatières[Coût brut],MATCH($B12,tblMatières[Matière],0))</f>
        <v>211.2485633866317</v>
      </c>
      <c r="F12" s="190">
        <f>INDEX(tblMatières[Revenu brut],MATCH($B12,tblMatières[Matière],0))</f>
        <v>77.24356967989938</v>
      </c>
      <c r="G12" s="190">
        <f t="shared" si="0"/>
        <v>134.00499370673231</v>
      </c>
      <c r="H12" s="301">
        <f t="shared" si="1"/>
        <v>768478.77094094304</v>
      </c>
      <c r="I12" s="569">
        <f t="shared" si="2"/>
        <v>4.9258033337363935E-2</v>
      </c>
      <c r="J12" s="301">
        <f t="shared" si="3"/>
        <v>618305.0718851944</v>
      </c>
    </row>
    <row r="13" spans="1:10">
      <c r="A13" s="38"/>
      <c r="B13" s="37" t="str">
        <f>INDEX(ListeMatières,4)</f>
        <v>Annuaires téléphoniques</v>
      </c>
      <c r="C13" s="26">
        <f>INDEX(tblMatières[Quantité récupérée (tonnes)],MATCH($B13,tblMatières[Matière],0))</f>
        <v>478.80496393624605</v>
      </c>
      <c r="D13" s="48">
        <f>INDEX(tblMatières[Quantité déclarée (tonnes)],MATCH($B13,tblMatières[Matière],0))</f>
        <v>587.05999999999995</v>
      </c>
      <c r="E13" s="181">
        <f>INDEX(tblMatières[Coût brut],MATCH($B13,tblMatières[Matière],0))</f>
        <v>211.76915496266679</v>
      </c>
      <c r="F13" s="190">
        <f>INDEX(tblMatières[Revenu brut],MATCH($B13,tblMatières[Matière],0))</f>
        <v>74.850648547240993</v>
      </c>
      <c r="G13" s="190">
        <f t="shared" si="0"/>
        <v>136.91850641542578</v>
      </c>
      <c r="H13" s="301">
        <f t="shared" si="1"/>
        <v>65557.260526442609</v>
      </c>
      <c r="I13" s="569">
        <f t="shared" si="2"/>
        <v>4.2020962017777401E-3</v>
      </c>
      <c r="J13" s="301">
        <f t="shared" si="3"/>
        <v>52746.267320783991</v>
      </c>
    </row>
    <row r="14" spans="1:10">
      <c r="A14" s="38"/>
      <c r="B14" s="37" t="str">
        <f>INDEX(ListeMatières,5)</f>
        <v>Papier à usage général</v>
      </c>
      <c r="C14" s="26">
        <f>INDEX(tblMatières[Quantité récupérée (tonnes)],MATCH($B14,tblMatières[Matière],0))</f>
        <v>2592.2165645758855</v>
      </c>
      <c r="D14" s="48">
        <f>INDEX(tblMatières[Quantité déclarée (tonnes)],MATCH($B14,tblMatières[Matière],0))</f>
        <v>4563.4139999999998</v>
      </c>
      <c r="E14" s="181">
        <f>INDEX(tblMatières[Coût brut],MATCH($B14,tblMatières[Matière],0))</f>
        <v>214.94159247117807</v>
      </c>
      <c r="F14" s="190">
        <f>INDEX(tblMatières[Revenu brut],MATCH($B14,tblMatières[Matière],0))</f>
        <v>74.307488737976755</v>
      </c>
      <c r="G14" s="190">
        <f t="shared" si="0"/>
        <v>140.6341037332013</v>
      </c>
      <c r="H14" s="301">
        <f t="shared" si="1"/>
        <v>364554.05324148777</v>
      </c>
      <c r="I14" s="569">
        <f t="shared" si="2"/>
        <v>2.3367224166587094E-2</v>
      </c>
      <c r="J14" s="301">
        <f t="shared" si="3"/>
        <v>293314.04928665143</v>
      </c>
    </row>
    <row r="15" spans="1:10">
      <c r="A15" s="38"/>
      <c r="B15" s="37" t="str">
        <f>INDEX(ListeMatières,6)</f>
        <v>Autres imprimés</v>
      </c>
      <c r="C15" s="26">
        <f>INDEX(tblMatières[Quantité récupérée (tonnes)],MATCH($B15,tblMatières[Matière],0))</f>
        <v>14881.538945703809</v>
      </c>
      <c r="D15" s="48">
        <f>INDEX(tblMatières[Quantité déclarée (tonnes)],MATCH($B15,tblMatières[Matière],0))</f>
        <v>23867.183000000001</v>
      </c>
      <c r="E15" s="182">
        <f>INDEX(tblMatières[Coût brut],MATCH($B15,tblMatières[Matière],0))</f>
        <v>217.7418299392032</v>
      </c>
      <c r="F15" s="191">
        <f>INDEX(tblMatières[Revenu brut],MATCH($B15,tblMatières[Matière],0))</f>
        <v>68.573586191713474</v>
      </c>
      <c r="G15" s="191">
        <f t="shared" si="0"/>
        <v>149.16824374748973</v>
      </c>
      <c r="H15" s="302">
        <f t="shared" si="1"/>
        <v>2219853.028790507</v>
      </c>
      <c r="I15" s="570">
        <f t="shared" si="2"/>
        <v>0.14228837364280844</v>
      </c>
      <c r="J15" s="302">
        <f t="shared" si="3"/>
        <v>1786056.3472173782</v>
      </c>
    </row>
    <row r="16" spans="1:10" ht="15.75" thickBot="1">
      <c r="A16" s="55" t="str">
        <f>'Facteur 1'!A16</f>
        <v>IMPRIMÉS TOTAL</v>
      </c>
      <c r="B16" s="50"/>
      <c r="C16" s="21">
        <f t="shared" ref="C16:D16" si="4">SUBTOTAL(9,C10:C15)</f>
        <v>112449.42539441548</v>
      </c>
      <c r="D16" s="28">
        <f t="shared" si="4"/>
        <v>140337.019</v>
      </c>
      <c r="E16" s="183"/>
      <c r="F16" s="192"/>
      <c r="G16" s="192"/>
      <c r="H16" s="303">
        <f t="shared" ref="H16:J16" si="5">SUBTOTAL(9,H10:H15)</f>
        <v>15601085.120018892</v>
      </c>
      <c r="I16" s="571">
        <f t="shared" si="5"/>
        <v>0.99999999999999989</v>
      </c>
      <c r="J16" s="289">
        <f t="shared" si="5"/>
        <v>12552370.242849063</v>
      </c>
    </row>
    <row r="17" spans="1:10">
      <c r="A17" s="38"/>
      <c r="B17" s="39"/>
      <c r="C17" s="35"/>
      <c r="D17" s="39"/>
      <c r="E17" s="184"/>
      <c r="F17" s="193"/>
      <c r="G17" s="193"/>
      <c r="H17" s="304"/>
      <c r="I17" s="572"/>
      <c r="J17" s="287"/>
    </row>
    <row r="18" spans="1:10">
      <c r="A18" s="43" t="str">
        <f>'Facteur 1'!A18</f>
        <v>CONTENANTS ET EMBALLAGES</v>
      </c>
      <c r="B18" s="45"/>
      <c r="C18" s="11"/>
      <c r="D18" s="45"/>
      <c r="E18" s="185"/>
      <c r="F18" s="194"/>
      <c r="G18" s="194"/>
      <c r="H18" s="305"/>
      <c r="I18" s="573"/>
      <c r="J18" s="294"/>
    </row>
    <row r="19" spans="1:10">
      <c r="A19" s="46" t="str">
        <f>'Facteur 1'!A19</f>
        <v>Papier et carton</v>
      </c>
      <c r="B19" s="37" t="str">
        <f>INDEX(ListeMatières,7)</f>
        <v>Carton ondulé</v>
      </c>
      <c r="C19" s="26">
        <f>INDEX(tblMatières[Quantité récupérée (tonnes)],MATCH($B19,tblMatières[Matière],0))</f>
        <v>44212.244562092688</v>
      </c>
      <c r="D19" s="48">
        <f>INDEX(tblMatières[Quantité déclarée (tonnes)],MATCH($B19,tblMatières[Matière],0))</f>
        <v>57058.644</v>
      </c>
      <c r="E19" s="180">
        <f>INDEX(tblMatières[Coût brut],MATCH($B19,tblMatières[Matière],0))</f>
        <v>283.2798412248128</v>
      </c>
      <c r="F19" s="190">
        <f>INDEX(tblMatières[Revenu brut],MATCH($B19,tblMatières[Matière],0))</f>
        <v>93.68998632080762</v>
      </c>
      <c r="G19" s="190">
        <f t="shared" ref="G19:G25" si="6">E19-F19</f>
        <v>189.58985490400516</v>
      </c>
      <c r="H19" s="301">
        <f t="shared" ref="H19:H25" si="7">G19*C19</f>
        <v>8382193.0315075442</v>
      </c>
      <c r="I19" s="569">
        <f t="shared" ref="I19:I25" si="8">$H19/$H$48</f>
        <v>0.12373140299436002</v>
      </c>
      <c r="J19" s="301">
        <f t="shared" ref="J19:J25" si="9">I19*$J$54</f>
        <v>5497627.8557915157</v>
      </c>
    </row>
    <row r="20" spans="1:10">
      <c r="A20" s="46"/>
      <c r="B20" s="37" t="str">
        <f>INDEX(ListeMatières,8)</f>
        <v>Sacs de papier kraft</v>
      </c>
      <c r="C20" s="26">
        <f>INDEX(tblMatières[Quantité récupérée (tonnes)],MATCH($B20,tblMatières[Matière],0))</f>
        <v>1296.6666443451525</v>
      </c>
      <c r="D20" s="48">
        <f>INDEX(tblMatières[Quantité déclarée (tonnes)],MATCH($B20,tblMatières[Matière],0))</f>
        <v>3143.279</v>
      </c>
      <c r="E20" s="181">
        <f>INDEX(tblMatières[Coût brut],MATCH($B20,tblMatières[Matière],0))</f>
        <v>283.2798412248128</v>
      </c>
      <c r="F20" s="190">
        <f>INDEX(tblMatières[Revenu brut],MATCH($B20,tblMatières[Matière],0))</f>
        <v>93.68998632080762</v>
      </c>
      <c r="G20" s="190">
        <f t="shared" si="6"/>
        <v>189.58985490400516</v>
      </c>
      <c r="H20" s="301">
        <f t="shared" si="7"/>
        <v>245834.84096026071</v>
      </c>
      <c r="I20" s="569">
        <f t="shared" si="8"/>
        <v>3.628822393205828E-3</v>
      </c>
      <c r="J20" s="301">
        <f t="shared" si="9"/>
        <v>161235.66523785202</v>
      </c>
    </row>
    <row r="21" spans="1:10">
      <c r="A21" s="46"/>
      <c r="B21" s="37" t="str">
        <f>INDEX(ListeMatières,9)</f>
        <v>Emballages de papier kraft</v>
      </c>
      <c r="C21" s="26">
        <f>INDEX(tblMatières[Quantité récupérée (tonnes)],MATCH($B21,tblMatières[Matière],0))</f>
        <v>459.17324899062658</v>
      </c>
      <c r="D21" s="48">
        <f>INDEX(tblMatières[Quantité déclarée (tonnes)],MATCH($B21,tblMatières[Matière],0))</f>
        <v>1981.269</v>
      </c>
      <c r="E21" s="181">
        <f>INDEX(tblMatières[Coût brut],MATCH($B21,tblMatières[Matière],0))</f>
        <v>283.2798412248128</v>
      </c>
      <c r="F21" s="190">
        <f>INDEX(tblMatières[Revenu brut],MATCH($B21,tblMatières[Matière],0))</f>
        <v>93.68998632080762</v>
      </c>
      <c r="G21" s="190">
        <f t="shared" si="6"/>
        <v>189.58985490400516</v>
      </c>
      <c r="H21" s="301">
        <f t="shared" si="7"/>
        <v>87054.589651933522</v>
      </c>
      <c r="I21" s="569">
        <f t="shared" si="8"/>
        <v>1.2850320285209165E-3</v>
      </c>
      <c r="J21" s="301">
        <f t="shared" si="9"/>
        <v>57096.482417667983</v>
      </c>
    </row>
    <row r="22" spans="1:10">
      <c r="A22" s="46"/>
      <c r="B22" s="37" t="str">
        <f>INDEX(ListeMatières,10)</f>
        <v>Carton plat et autres emballages de papier</v>
      </c>
      <c r="C22" s="26">
        <f>INDEX(tblMatières[Quantité récupérée (tonnes)],MATCH($B22,tblMatières[Matière],0))</f>
        <v>55290.317194879237</v>
      </c>
      <c r="D22" s="48">
        <f>INDEX(tblMatières[Quantité déclarée (tonnes)],MATCH($B22,tblMatières[Matière],0))</f>
        <v>89357.737999999998</v>
      </c>
      <c r="E22" s="181">
        <f>INDEX(tblMatières[Coût brut],MATCH($B22,tblMatières[Matière],0))</f>
        <v>259.66250181102873</v>
      </c>
      <c r="F22" s="190">
        <f>INDEX(tblMatières[Revenu brut],MATCH($B22,tblMatières[Matière],0))</f>
        <v>76.451627489198557</v>
      </c>
      <c r="G22" s="190">
        <f t="shared" si="6"/>
        <v>183.21087432183018</v>
      </c>
      <c r="H22" s="301">
        <f t="shared" si="7"/>
        <v>10129787.354805145</v>
      </c>
      <c r="I22" s="569">
        <f t="shared" si="8"/>
        <v>0.14952802885036251</v>
      </c>
      <c r="J22" s="301">
        <f t="shared" si="9"/>
        <v>6643822.3178219469</v>
      </c>
    </row>
    <row r="23" spans="1:10">
      <c r="A23" s="46"/>
      <c r="B23" s="37" t="str">
        <f>INDEX(ListeMatières,11)</f>
        <v>Contenants à pignon</v>
      </c>
      <c r="C23" s="26">
        <f>INDEX(tblMatières[Quantité récupérée (tonnes)],MATCH($B23,tblMatières[Matière],0))</f>
        <v>8288.6371859637784</v>
      </c>
      <c r="D23" s="48">
        <f>INDEX(tblMatières[Quantité déclarée (tonnes)],MATCH($B23,tblMatières[Matière],0))</f>
        <v>10642.311</v>
      </c>
      <c r="E23" s="181">
        <f>INDEX(tblMatières[Coût brut],MATCH($B23,tblMatières[Matière],0))</f>
        <v>287.44345511818813</v>
      </c>
      <c r="F23" s="190">
        <f>INDEX(tblMatières[Revenu brut],MATCH($B23,tblMatières[Matière],0))</f>
        <v>72.915491863072418</v>
      </c>
      <c r="G23" s="190">
        <f t="shared" si="6"/>
        <v>214.52796325511571</v>
      </c>
      <c r="H23" s="301">
        <f t="shared" si="7"/>
        <v>1778144.4536654232</v>
      </c>
      <c r="I23" s="569">
        <f t="shared" si="8"/>
        <v>2.6247583078994448E-2</v>
      </c>
      <c r="J23" s="301">
        <f t="shared" si="9"/>
        <v>1166231.3720701886</v>
      </c>
    </row>
    <row r="24" spans="1:10">
      <c r="A24" s="46"/>
      <c r="B24" s="37" t="str">
        <f>INDEX(ListeMatières,12)</f>
        <v>Laminés de papier</v>
      </c>
      <c r="C24" s="26">
        <f>INDEX(tblMatières[Quantité récupérée (tonnes)],MATCH($B24,tblMatières[Matière],0))</f>
        <v>4420.5794650618791</v>
      </c>
      <c r="D24" s="48">
        <f>INDEX(tblMatières[Quantité déclarée (tonnes)],MATCH($B24,tblMatières[Matière],0))</f>
        <v>13221.805</v>
      </c>
      <c r="E24" s="181">
        <f>INDEX(tblMatières[Coût brut],MATCH($B24,tblMatières[Matière],0))</f>
        <v>301.24764590318324</v>
      </c>
      <c r="F24" s="190">
        <f>INDEX(tblMatières[Revenu brut],MATCH($B24,tblMatières[Matière],0))</f>
        <v>37.009893767440225</v>
      </c>
      <c r="G24" s="190">
        <f t="shared" si="6"/>
        <v>264.23775213574299</v>
      </c>
      <c r="H24" s="301">
        <f t="shared" si="7"/>
        <v>1168083.9809853761</v>
      </c>
      <c r="I24" s="569">
        <f t="shared" si="8"/>
        <v>1.7242345677234341E-2</v>
      </c>
      <c r="J24" s="301">
        <f t="shared" si="9"/>
        <v>766111.08902297658</v>
      </c>
    </row>
    <row r="25" spans="1:10">
      <c r="A25" s="46"/>
      <c r="B25" s="37" t="str">
        <f>INDEX(ListeMatières,13)</f>
        <v>Contenants aseptiques</v>
      </c>
      <c r="C25" s="26">
        <f>INDEX(tblMatières[Quantité récupérée (tonnes)],MATCH($B25,tblMatières[Matière],0))</f>
        <v>3275.4908245800875</v>
      </c>
      <c r="D25" s="48">
        <f>INDEX(tblMatières[Quantité déclarée (tonnes)],MATCH($B25,tblMatières[Matière],0))</f>
        <v>5960.89</v>
      </c>
      <c r="E25" s="182">
        <f>INDEX(tblMatières[Coût brut],MATCH($B25,tblMatières[Matière],0))</f>
        <v>288.99954007779075</v>
      </c>
      <c r="F25" s="190">
        <f>INDEX(tblMatières[Revenu brut],MATCH($B25,tblMatières[Matière],0))</f>
        <v>64.475038036018375</v>
      </c>
      <c r="G25" s="190">
        <f t="shared" si="6"/>
        <v>224.52450204177239</v>
      </c>
      <c r="H25" s="301">
        <f t="shared" si="7"/>
        <v>735427.94633123861</v>
      </c>
      <c r="I25" s="569">
        <f t="shared" si="8"/>
        <v>1.0855814374446521E-2</v>
      </c>
      <c r="J25" s="301">
        <f t="shared" si="9"/>
        <v>482345.03172149078</v>
      </c>
    </row>
    <row r="26" spans="1:10">
      <c r="A26" s="43" t="str">
        <f>'Facteur 1'!A26</f>
        <v>Papier et carton TOTAL</v>
      </c>
      <c r="B26" s="51"/>
      <c r="C26" s="22">
        <f t="shared" ref="C26:D26" si="10">SUBTOTAL(9,C19:C25)</f>
        <v>117243.10912591344</v>
      </c>
      <c r="D26" s="29">
        <f t="shared" si="10"/>
        <v>181365.93599999999</v>
      </c>
      <c r="E26" s="186"/>
      <c r="F26" s="195"/>
      <c r="G26" s="195"/>
      <c r="H26" s="306">
        <f t="shared" ref="H26:J26" si="11">SUBTOTAL(9,H19:H25)</f>
        <v>22526526.197906926</v>
      </c>
      <c r="I26" s="574">
        <f t="shared" si="11"/>
        <v>0.33251902939712452</v>
      </c>
      <c r="J26" s="290">
        <f t="shared" si="11"/>
        <v>14774469.814083641</v>
      </c>
    </row>
    <row r="27" spans="1:10">
      <c r="A27" s="46" t="str">
        <f>'Facteur 1'!A27</f>
        <v>Plastique</v>
      </c>
      <c r="B27" s="37" t="str">
        <f>INDEX(ListeMatières,14)</f>
        <v>Bouteilles PET</v>
      </c>
      <c r="C27" s="26">
        <f>INDEX(tblMatières[Quantité récupérée (tonnes)],MATCH($B27,tblMatières[Matière],0))</f>
        <v>19296.023522834832</v>
      </c>
      <c r="D27" s="48">
        <f>INDEX(tblMatières[Quantité déclarée (tonnes)],MATCH($B27,tblMatières[Matière],0))</f>
        <v>28454.071</v>
      </c>
      <c r="E27" s="181">
        <f>INDEX(tblMatières[Coût brut],MATCH($B27,tblMatières[Matière],0))</f>
        <v>502.04989326084126</v>
      </c>
      <c r="F27" s="190">
        <f>INDEX(tblMatières[Revenu brut],MATCH($B27,tblMatières[Matière],0))</f>
        <v>210.26880550634357</v>
      </c>
      <c r="G27" s="190">
        <f t="shared" ref="G27:G36" si="12">E27-F27</f>
        <v>291.78108775449766</v>
      </c>
      <c r="H27" s="301">
        <f t="shared" ref="H27:H36" si="13">G27*C27</f>
        <v>5630214.7328291209</v>
      </c>
      <c r="I27" s="569">
        <f t="shared" ref="I27:I37" si="14">$H27/$H$48</f>
        <v>8.3108843405765936E-2</v>
      </c>
      <c r="J27" s="301">
        <f t="shared" ref="J27:J37" si="15">I27*$J$54</f>
        <v>3692688.2061701063</v>
      </c>
    </row>
    <row r="28" spans="1:10">
      <c r="A28" s="38"/>
      <c r="B28" s="37" t="str">
        <f>INDEX(ListeMatières,15)</f>
        <v>Bouteilles HDPE</v>
      </c>
      <c r="C28" s="26">
        <f>INDEX(tblMatières[Quantité récupérée (tonnes)],MATCH($B28,tblMatières[Matière],0))</f>
        <v>12997.599355643866</v>
      </c>
      <c r="D28" s="48">
        <f>INDEX(tblMatières[Quantité déclarée (tonnes)],MATCH($B28,tblMatières[Matière],0))</f>
        <v>19105.120999999999</v>
      </c>
      <c r="E28" s="181">
        <f>INDEX(tblMatières[Coût brut],MATCH($B28,tblMatières[Matière],0))</f>
        <v>435.96853696724213</v>
      </c>
      <c r="F28" s="190">
        <f>INDEX(tblMatières[Revenu brut],MATCH($B28,tblMatières[Matière],0))</f>
        <v>424.28662041482266</v>
      </c>
      <c r="G28" s="190">
        <f t="shared" si="12"/>
        <v>11.681916552419466</v>
      </c>
      <c r="H28" s="301">
        <f t="shared" si="13"/>
        <v>151836.87105441265</v>
      </c>
      <c r="I28" s="569">
        <f t="shared" si="14"/>
        <v>2.2412975949394659E-3</v>
      </c>
      <c r="J28" s="301">
        <f t="shared" si="15"/>
        <v>99585.228914113221</v>
      </c>
    </row>
    <row r="29" spans="1:10">
      <c r="A29" s="38"/>
      <c r="B29" s="37" t="str">
        <f>INDEX(ListeMatières,16)</f>
        <v>Plastiques stratifiés</v>
      </c>
      <c r="C29" s="26">
        <f>INDEX(tblMatières[Quantité récupérée (tonnes)],MATCH($B29,tblMatières[Matière],0))</f>
        <v>2963.9007205395051</v>
      </c>
      <c r="D29" s="48">
        <f>INDEX(tblMatières[Quantité déclarée (tonnes)],MATCH($B29,tblMatières[Matière],0))</f>
        <v>18345.511999999999</v>
      </c>
      <c r="E29" s="181">
        <f>INDEX(tblMatières[Coût brut],MATCH($B29,tblMatières[Matière],0))</f>
        <v>607.46660078724142</v>
      </c>
      <c r="F29" s="190">
        <f>INDEX(tblMatières[Revenu brut],MATCH($B29,tblMatières[Matière],0))</f>
        <v>-55.519554461940743</v>
      </c>
      <c r="G29" s="190">
        <f t="shared" si="12"/>
        <v>662.98615524918216</v>
      </c>
      <c r="H29" s="301">
        <f t="shared" si="13"/>
        <v>1965025.1432507671</v>
      </c>
      <c r="I29" s="569">
        <f t="shared" si="14"/>
        <v>2.9006170220573245E-2</v>
      </c>
      <c r="J29" s="301">
        <f t="shared" si="15"/>
        <v>1288800.785696438</v>
      </c>
    </row>
    <row r="30" spans="1:10">
      <c r="A30" s="38"/>
      <c r="B30" s="37" t="str">
        <f>INDEX(ListeMatières,17)</f>
        <v>Pellicules HDPE et LDPE</v>
      </c>
      <c r="C30" s="26">
        <f>INDEX(tblMatières[Quantité récupérée (tonnes)],MATCH($B30,tblMatières[Matière],0))</f>
        <v>7167.664015781269</v>
      </c>
      <c r="D30" s="48">
        <f>INDEX(tblMatières[Quantité déclarée (tonnes)],MATCH($B30,tblMatières[Matière],0))</f>
        <v>20600.752</v>
      </c>
      <c r="E30" s="181">
        <f>INDEX(tblMatières[Coût brut],MATCH($B30,tblMatières[Matière],0))</f>
        <v>622.23412713720745</v>
      </c>
      <c r="F30" s="190">
        <f>INDEX(tblMatières[Revenu brut],MATCH($B30,tblMatières[Matière],0))</f>
        <v>5.2214900955825367</v>
      </c>
      <c r="G30" s="190">
        <f t="shared" si="12"/>
        <v>617.01263704162488</v>
      </c>
      <c r="H30" s="301">
        <f t="shared" si="13"/>
        <v>4422539.2758055637</v>
      </c>
      <c r="I30" s="569">
        <f t="shared" si="14"/>
        <v>6.5282079204834018E-2</v>
      </c>
      <c r="J30" s="301">
        <f t="shared" si="15"/>
        <v>2900610.2608958771</v>
      </c>
    </row>
    <row r="31" spans="1:10">
      <c r="A31" s="38"/>
      <c r="B31" s="37" t="str">
        <f>INDEX(ListeMatières,18)</f>
        <v>Sacs d'emplettes de pellicules HDPE et LDPE</v>
      </c>
      <c r="C31" s="26">
        <f>INDEX(tblMatières[Quantité récupérée (tonnes)],MATCH($B31,tblMatières[Matière],0))</f>
        <v>1388.0863033855567</v>
      </c>
      <c r="D31" s="48">
        <f>INDEX(tblMatières[Quantité déclarée (tonnes)],MATCH($B31,tblMatières[Matière],0))</f>
        <v>8808.5460000000003</v>
      </c>
      <c r="E31" s="181">
        <f>INDEX(tblMatières[Coût brut],MATCH($B31,tblMatières[Matière],0))</f>
        <v>622.23412713720745</v>
      </c>
      <c r="F31" s="190">
        <f>INDEX(tblMatières[Revenu brut],MATCH($B31,tblMatières[Matière],0))</f>
        <v>5.2214900955825367</v>
      </c>
      <c r="G31" s="190">
        <f t="shared" si="12"/>
        <v>617.01263704162488</v>
      </c>
      <c r="H31" s="301">
        <f t="shared" si="13"/>
        <v>856466.7904932833</v>
      </c>
      <c r="I31" s="569">
        <f t="shared" si="14"/>
        <v>1.2642495491033977E-2</v>
      </c>
      <c r="J31" s="301">
        <f t="shared" si="15"/>
        <v>561730.76273446262</v>
      </c>
    </row>
    <row r="32" spans="1:10">
      <c r="A32" s="38"/>
      <c r="B32" s="37" t="str">
        <f>INDEX(ListeMatières,19)</f>
        <v>Polystyrène expansé alimentaire</v>
      </c>
      <c r="C32" s="26">
        <f>INDEX(tblMatières[Quantité récupérée (tonnes)],MATCH($B32,tblMatières[Matière],0))</f>
        <v>412.94510310858072</v>
      </c>
      <c r="D32" s="48">
        <f>INDEX(tblMatières[Quantité déclarée (tonnes)],MATCH($B32,tblMatières[Matière],0))</f>
        <v>3577.489</v>
      </c>
      <c r="E32" s="181">
        <f>INDEX(tblMatières[Coût brut],MATCH($B32,tblMatières[Matière],0))</f>
        <v>2328.030301847994</v>
      </c>
      <c r="F32" s="190">
        <f>INDEX(tblMatières[Revenu brut],MATCH($B32,tblMatières[Matière],0))</f>
        <v>-23.682716482109601</v>
      </c>
      <c r="G32" s="190">
        <f t="shared" si="12"/>
        <v>2351.7130183301038</v>
      </c>
      <c r="H32" s="301">
        <f t="shared" si="13"/>
        <v>971128.37483611633</v>
      </c>
      <c r="I32" s="569">
        <f t="shared" si="14"/>
        <v>1.4335040466670656E-2</v>
      </c>
      <c r="J32" s="301">
        <f t="shared" si="15"/>
        <v>636933.84117740509</v>
      </c>
    </row>
    <row r="33" spans="1:10">
      <c r="A33" s="250"/>
      <c r="B33" s="37" t="str">
        <f>INDEX(ListeMatières,20)</f>
        <v>Polystyrène expansé de protection</v>
      </c>
      <c r="C33" s="26">
        <f>INDEX(tblMatières[Quantité récupérée (tonnes)],MATCH($B33,tblMatières[Matière],0))</f>
        <v>620.3989827377784</v>
      </c>
      <c r="D33" s="48">
        <f>INDEX(tblMatières[Quantité déclarée (tonnes)],MATCH($B33,tblMatières[Matière],0))</f>
        <v>1653.914</v>
      </c>
      <c r="E33" s="181">
        <f>INDEX(tblMatières[Coût brut],MATCH($B33,tblMatières[Matière],0))</f>
        <v>2328.030301847994</v>
      </c>
      <c r="F33" s="190">
        <f>INDEX(tblMatières[Revenu brut],MATCH($B33,tblMatières[Matière],0))</f>
        <v>-23.682716482109601</v>
      </c>
      <c r="G33" s="190">
        <f>E33-F33</f>
        <v>2351.7130183301038</v>
      </c>
      <c r="H33" s="301">
        <f t="shared" si="13"/>
        <v>1459000.3642631867</v>
      </c>
      <c r="I33" s="569">
        <f t="shared" si="14"/>
        <v>2.1536626675262689E-2</v>
      </c>
      <c r="J33" s="301">
        <f t="shared" si="15"/>
        <v>956914.37957026775</v>
      </c>
    </row>
    <row r="34" spans="1:10">
      <c r="A34" s="38"/>
      <c r="B34" s="37" t="str">
        <f>INDEX(ListeMatières,21)</f>
        <v>Polystyrène non expansé</v>
      </c>
      <c r="C34" s="26">
        <f>INDEX(tblMatières[Quantité récupérée (tonnes)],MATCH($B34,tblMatières[Matière],0))</f>
        <v>1100.7673069345703</v>
      </c>
      <c r="D34" s="48">
        <f>INDEX(tblMatières[Quantité déclarée (tonnes)],MATCH($B34,tblMatières[Matière],0))</f>
        <v>4424.2470000000003</v>
      </c>
      <c r="E34" s="181">
        <f>INDEX(tblMatières[Coût brut],MATCH($B34,tblMatières[Matière],0))</f>
        <v>447.53303645025329</v>
      </c>
      <c r="F34" s="190">
        <f>INDEX(tblMatières[Revenu brut],MATCH($B34,tblMatières[Matière],0))</f>
        <v>9.3037188833314417</v>
      </c>
      <c r="G34" s="190">
        <f t="shared" si="12"/>
        <v>438.22931756692185</v>
      </c>
      <c r="H34" s="301">
        <f t="shared" si="13"/>
        <v>482388.50571791519</v>
      </c>
      <c r="I34" s="569">
        <f t="shared" si="14"/>
        <v>7.1206432942401256E-3</v>
      </c>
      <c r="J34" s="301">
        <f t="shared" si="15"/>
        <v>316384.08664414787</v>
      </c>
    </row>
    <row r="35" spans="1:10">
      <c r="A35" s="38"/>
      <c r="B35" s="37" t="str">
        <f>INDEX(ListeMatières,22)</f>
        <v>Contenants de PET</v>
      </c>
      <c r="C35" s="26">
        <f>INDEX(tblMatières[Quantité récupérée (tonnes)],MATCH($B35,tblMatières[Matière],0))</f>
        <v>4517.3086635484415</v>
      </c>
      <c r="D35" s="48">
        <f>INDEX(tblMatières[Quantité déclarée (tonnes)],MATCH($B35,tblMatières[Matière],0))</f>
        <v>7889.152</v>
      </c>
      <c r="E35" s="181">
        <f>INDEX(tblMatières[Coût brut],MATCH($B35,tblMatières[Matière],0))</f>
        <v>425.60489155507349</v>
      </c>
      <c r="F35" s="190">
        <f>INDEX(tblMatières[Revenu brut],MATCH($B35,tblMatières[Matière],0))</f>
        <v>34.980630600158555</v>
      </c>
      <c r="G35" s="190">
        <f t="shared" si="12"/>
        <v>390.62426095491492</v>
      </c>
      <c r="H35" s="301">
        <f t="shared" si="13"/>
        <v>1764570.3582038444</v>
      </c>
      <c r="I35" s="569">
        <f t="shared" si="14"/>
        <v>2.604721285732008E-2</v>
      </c>
      <c r="J35" s="301">
        <f t="shared" si="15"/>
        <v>1157328.5318413556</v>
      </c>
    </row>
    <row r="36" spans="1:10">
      <c r="A36" s="38"/>
      <c r="B36" s="37" t="str">
        <f>INDEX(ListeMatières,23)</f>
        <v>PVC, acide polylactique (PLA) et autres plastiques dégradables</v>
      </c>
      <c r="C36" s="26">
        <f>INDEX(tblMatières[Quantité récupérée (tonnes)],MATCH($B36,tblMatières[Matière],0))</f>
        <v>268.19356200000004</v>
      </c>
      <c r="D36" s="48">
        <f>INDEX(tblMatières[Quantité déclarée (tonnes)],MATCH($B36,tblMatières[Matière],0))</f>
        <v>491.197</v>
      </c>
      <c r="E36" s="181">
        <f>INDEX(tblMatières[Coût brut],MATCH($B36,tblMatières[Matière],0))</f>
        <v>407.25991279958509</v>
      </c>
      <c r="F36" s="190">
        <f>INDEX(tblMatières[Revenu brut],MATCH($B36,tblMatières[Matière],0))</f>
        <v>137.21267029489488</v>
      </c>
      <c r="G36" s="190">
        <f t="shared" si="12"/>
        <v>270.04724250469019</v>
      </c>
      <c r="H36" s="301">
        <f t="shared" si="13"/>
        <v>72424.93187561068</v>
      </c>
      <c r="I36" s="569">
        <f t="shared" si="14"/>
        <v>1.0690804183411378E-3</v>
      </c>
      <c r="J36" s="301">
        <f t="shared" si="15"/>
        <v>47501.330670447445</v>
      </c>
    </row>
    <row r="37" spans="1:10">
      <c r="A37" s="250"/>
      <c r="B37" s="37" t="str">
        <f>INDEX(ListeMatières,24)</f>
        <v>Autres plastiques, polymères et polyuréthanne</v>
      </c>
      <c r="C37" s="26">
        <f>INDEX(tblMatières[Quantité récupérée (tonnes)],MATCH($B37,tblMatières[Matière],0))</f>
        <v>14808.56401630154</v>
      </c>
      <c r="D37" s="48">
        <f>INDEX(tblMatières[Quantité déclarée (tonnes)],MATCH($B37,tblMatières[Matière],0))</f>
        <v>33909.735999999997</v>
      </c>
      <c r="E37" s="182">
        <f>INDEX(tblMatières[Coût brut],MATCH($B37,tblMatières[Matière],0))</f>
        <v>379.75720829472294</v>
      </c>
      <c r="F37" s="190">
        <f>INDEX(tblMatières[Revenu brut],MATCH($B37,tblMatières[Matière],0))</f>
        <v>114.32903281974974</v>
      </c>
      <c r="G37" s="190">
        <f t="shared" ref="G37" si="16">E37-F37</f>
        <v>265.42817547497322</v>
      </c>
      <c r="H37" s="301">
        <f t="shared" ref="H37" si="17">G37*C37</f>
        <v>3930610.1282512592</v>
      </c>
      <c r="I37" s="569">
        <f t="shared" si="14"/>
        <v>5.8020604388885212E-2</v>
      </c>
      <c r="J37" s="301">
        <f t="shared" si="15"/>
        <v>2577968.7547286157</v>
      </c>
    </row>
    <row r="38" spans="1:10">
      <c r="A38" s="43" t="str">
        <f>'Facteur 1'!A38</f>
        <v>Plastique TOTAL</v>
      </c>
      <c r="B38" s="51"/>
      <c r="C38" s="24">
        <f>SUBTOTAL(9,C27:C36)</f>
        <v>50732.887536514405</v>
      </c>
      <c r="D38" s="30">
        <f>SUBTOTAL(9,D27:D36)</f>
        <v>113350.00100000002</v>
      </c>
      <c r="E38" s="118"/>
      <c r="F38" s="117"/>
      <c r="G38" s="117"/>
      <c r="H38" s="306">
        <f>SUBTOTAL(9,H27:H36)</f>
        <v>17775595.34832982</v>
      </c>
      <c r="I38" s="574">
        <f>SUBTOTAL(9,I27:I36)</f>
        <v>0.26238948962898134</v>
      </c>
      <c r="J38" s="290">
        <f>SUBTOTAL(9,J27:J37)</f>
        <v>14236446.169043239</v>
      </c>
    </row>
    <row r="39" spans="1:10">
      <c r="A39" s="46" t="str">
        <f>'Facteur 1'!A39</f>
        <v>Aluminium</v>
      </c>
      <c r="B39" s="37" t="str">
        <f>INDEX(ListeMatières,25)</f>
        <v>Contenants pour aliments et breuvages en aluminium</v>
      </c>
      <c r="C39" s="26">
        <f>INDEX(tblMatières[Quantité récupérée (tonnes)],MATCH($B39,tblMatières[Matière],0))</f>
        <v>1376.4950426958128</v>
      </c>
      <c r="D39" s="48">
        <f>INDEX(tblMatières[Quantité déclarée (tonnes)],MATCH($B39,tblMatières[Matière],0))</f>
        <v>2854.9569999999999</v>
      </c>
      <c r="E39" s="181">
        <f>INDEX(tblMatières[Coût brut],MATCH($B39,tblMatières[Matière],0))</f>
        <v>456.02053351126233</v>
      </c>
      <c r="F39" s="190">
        <f>INDEX(tblMatières[Revenu brut],MATCH($B39,tblMatières[Matière],0))</f>
        <v>639.0319910388497</v>
      </c>
      <c r="G39" s="190">
        <f>E39-F39</f>
        <v>-183.01145752758737</v>
      </c>
      <c r="H39" s="301">
        <f>G39*C39</f>
        <v>-251914.36404325929</v>
      </c>
      <c r="I39" s="569">
        <f>$H39/$H$48</f>
        <v>-3.7185635764222591E-3</v>
      </c>
      <c r="J39" s="301">
        <f>I39*$J$54</f>
        <v>-165223.04125333962</v>
      </c>
    </row>
    <row r="40" spans="1:10">
      <c r="A40" s="46"/>
      <c r="B40" s="37" t="str">
        <f>INDEX(ListeMatières,26)</f>
        <v>Autres contenants et emballages en aluminium</v>
      </c>
      <c r="C40" s="26">
        <f>INDEX(tblMatières[Quantité récupérée (tonnes)],MATCH($B40,tblMatières[Matière],0))</f>
        <v>483.96942592726941</v>
      </c>
      <c r="D40" s="48">
        <f>INDEX(tblMatières[Quantité déclarée (tonnes)],MATCH($B40,tblMatières[Matière],0))</f>
        <v>4823.9380000000001</v>
      </c>
      <c r="E40" s="181">
        <f>INDEX(tblMatières[Coût brut],MATCH($B40,tblMatières[Matière],0))</f>
        <v>424.40232543120288</v>
      </c>
      <c r="F40" s="190">
        <f>INDEX(tblMatières[Revenu brut],MATCH($B40,tblMatières[Matière],0))</f>
        <v>436.91756452611196</v>
      </c>
      <c r="G40" s="190">
        <f>E40-F40</f>
        <v>-12.515239094909077</v>
      </c>
      <c r="H40" s="301">
        <f>G40*C40</f>
        <v>-6056.9930801056653</v>
      </c>
      <c r="I40" s="569">
        <f>$H40/$H$48</f>
        <v>-8.9408612866771054E-5</v>
      </c>
      <c r="J40" s="301">
        <f>I40*$J$54</f>
        <v>-3972.5992654140168</v>
      </c>
    </row>
    <row r="41" spans="1:10">
      <c r="A41" s="43" t="str">
        <f>'Facteur 1'!A41</f>
        <v>Aluminium TOTAL</v>
      </c>
      <c r="B41" s="51"/>
      <c r="C41" s="22">
        <f t="shared" ref="C41:D41" si="18">SUBTOTAL(9,C39:C40)</f>
        <v>1860.4644686230822</v>
      </c>
      <c r="D41" s="29">
        <f t="shared" si="18"/>
        <v>7678.8950000000004</v>
      </c>
      <c r="E41" s="188"/>
      <c r="F41" s="196"/>
      <c r="G41" s="196"/>
      <c r="H41" s="307">
        <f t="shared" ref="H41:J41" si="19">SUBTOTAL(9,H39:H40)</f>
        <v>-257971.35712336496</v>
      </c>
      <c r="I41" s="575">
        <f t="shared" si="19"/>
        <v>-3.8079721892890304E-3</v>
      </c>
      <c r="J41" s="290">
        <f t="shared" si="19"/>
        <v>-169195.64051875364</v>
      </c>
    </row>
    <row r="42" spans="1:10">
      <c r="A42" s="46" t="str">
        <f>'Facteur 1'!A42</f>
        <v>Acier</v>
      </c>
      <c r="B42" s="37" t="str">
        <f>INDEX(ListeMatières,27)</f>
        <v>Bombes aérosol en acier</v>
      </c>
      <c r="C42" s="26">
        <f>INDEX(tblMatières[Quantité récupérée (tonnes)],MATCH($B42,tblMatières[Matière],0))</f>
        <v>426.11538339999998</v>
      </c>
      <c r="D42" s="48">
        <f>INDEX(tblMatières[Quantité déclarée (tonnes)],MATCH($B42,tblMatières[Matière],0))</f>
        <v>2430.7779999999998</v>
      </c>
      <c r="E42" s="180">
        <f>INDEX(tblMatières[Coût brut],MATCH($B42,tblMatières[Matière],0))</f>
        <v>243.48742625638928</v>
      </c>
      <c r="F42" s="190">
        <f>INDEX(tblMatières[Revenu brut],MATCH($B42,tblMatières[Matière],0))</f>
        <v>190.5970718234482</v>
      </c>
      <c r="G42" s="190">
        <f>E42-F42</f>
        <v>52.890354432941081</v>
      </c>
      <c r="H42" s="301">
        <f>G42*C42</f>
        <v>22537.393657354576</v>
      </c>
      <c r="I42" s="569">
        <f>$H42/$H$48</f>
        <v>3.3267944636669188E-4</v>
      </c>
      <c r="J42" s="301">
        <f>I42*$J$54</f>
        <v>14781.597453301267</v>
      </c>
    </row>
    <row r="43" spans="1:10">
      <c r="A43" s="46"/>
      <c r="B43" s="37" t="str">
        <f>INDEX(ListeMatières,28)</f>
        <v>Autres contenants en acier</v>
      </c>
      <c r="C43" s="26">
        <f>INDEX(tblMatières[Quantité récupérée (tonnes)],MATCH($B43,tblMatières[Matière],0))</f>
        <v>15248.302927500676</v>
      </c>
      <c r="D43" s="48">
        <f>INDEX(tblMatières[Quantité déclarée (tonnes)],MATCH($B43,tblMatières[Matière],0))</f>
        <v>23510.151000000002</v>
      </c>
      <c r="E43" s="181">
        <f>INDEX(tblMatières[Coût brut],MATCH($B43,tblMatières[Matière],0))</f>
        <v>274.70098422097146</v>
      </c>
      <c r="F43" s="190">
        <f>INDEX(tblMatières[Revenu brut],MATCH($B43,tblMatières[Matière],0))</f>
        <v>170.7123124504144</v>
      </c>
      <c r="G43" s="190">
        <f>E43-F43</f>
        <v>103.98867177055706</v>
      </c>
      <c r="H43" s="301">
        <f>G43*C43</f>
        <v>1585650.7681858921</v>
      </c>
      <c r="I43" s="569">
        <f>$H43/$H$48</f>
        <v>2.3406141265090784E-2</v>
      </c>
      <c r="J43" s="301">
        <f>I43*$J$54</f>
        <v>1039980.5635552346</v>
      </c>
    </row>
    <row r="44" spans="1:10">
      <c r="A44" s="43" t="str">
        <f>'Facteur 1'!A44</f>
        <v>Acier TOTAL</v>
      </c>
      <c r="B44" s="51"/>
      <c r="C44" s="22">
        <f t="shared" ref="C44:D44" si="20">SUBTOTAL(9,C42:C43)</f>
        <v>15674.418310900675</v>
      </c>
      <c r="D44" s="29">
        <f t="shared" si="20"/>
        <v>25940.929</v>
      </c>
      <c r="E44" s="186"/>
      <c r="F44" s="195"/>
      <c r="G44" s="195"/>
      <c r="H44" s="306">
        <f t="shared" ref="H44:J44" si="21">SUBTOTAL(9,H42:H43)</f>
        <v>1608188.1618432468</v>
      </c>
      <c r="I44" s="574">
        <f t="shared" si="21"/>
        <v>2.3738820711457477E-2</v>
      </c>
      <c r="J44" s="290">
        <f t="shared" si="21"/>
        <v>1054762.1610085359</v>
      </c>
    </row>
    <row r="45" spans="1:10">
      <c r="A45" s="46" t="str">
        <f>'Facteur 1'!A45</f>
        <v>Verre</v>
      </c>
      <c r="B45" s="37" t="str">
        <f>INDEX(ListeMatières,29)</f>
        <v>Verre clair</v>
      </c>
      <c r="C45" s="26">
        <f>INDEX(tblMatières[Quantité récupérée (tonnes)],MATCH($B45,tblMatières[Matière],0))</f>
        <v>44498.909088249253</v>
      </c>
      <c r="D45" s="48">
        <f>INDEX(tblMatières[Quantité déclarée (tonnes)],MATCH($B45,tblMatières[Matière],0))</f>
        <v>56442.516000000003</v>
      </c>
      <c r="E45" s="180">
        <f>INDEX(tblMatières[Coût brut],MATCH($B45,tblMatières[Matière],0))</f>
        <v>179.16746386321736</v>
      </c>
      <c r="F45" s="190">
        <f>INDEX(tblMatières[Revenu brut],MATCH($B45,tblMatières[Matière],0))</f>
        <v>-22.026946096764632</v>
      </c>
      <c r="G45" s="190">
        <f>E45-F45</f>
        <v>201.19440995998201</v>
      </c>
      <c r="H45" s="301">
        <f>G45*C45</f>
        <v>8952931.7578731887</v>
      </c>
      <c r="I45" s="569">
        <f>$H45/$H$48</f>
        <v>0.13215620341245951</v>
      </c>
      <c r="J45" s="301">
        <f>I45*$J$54</f>
        <v>5871958.1901864065</v>
      </c>
    </row>
    <row r="46" spans="1:10">
      <c r="A46" s="46"/>
      <c r="B46" s="233" t="str">
        <f>INDEX(ListeMatières,30)</f>
        <v>Verre coloré</v>
      </c>
      <c r="C46" s="26">
        <f>INDEX(tblMatières[Quantité récupérée (tonnes)],MATCH($B46,tblMatières[Matière],0))</f>
        <v>65629.941609465241</v>
      </c>
      <c r="D46" s="48">
        <f>INDEX(tblMatières[Quantité déclarée (tonnes)],MATCH($B46,tblMatières[Matière],0))</f>
        <v>83245.164999999994</v>
      </c>
      <c r="E46" s="182">
        <f>INDEX(tblMatières[Coût brut],MATCH($B46,tblMatières[Matière],0))</f>
        <v>178.21597475518263</v>
      </c>
      <c r="F46" s="190">
        <f>INDEX(tblMatières[Revenu brut],MATCH($B46,tblMatières[Matière],0))</f>
        <v>-23.051819692792051</v>
      </c>
      <c r="G46" s="190">
        <f>E46-F46</f>
        <v>201.26779444797467</v>
      </c>
      <c r="H46" s="301">
        <f>G46*C46</f>
        <v>13209193.597486429</v>
      </c>
      <c r="I46" s="569">
        <f>$H46/$H$48</f>
        <v>0.19498382465038111</v>
      </c>
      <c r="J46" s="301">
        <f>I46*$J$54</f>
        <v>8663512.0905851666</v>
      </c>
    </row>
    <row r="47" spans="1:10">
      <c r="A47" s="43" t="str">
        <f>'Facteur 1'!A47</f>
        <v>Verre TOTAL</v>
      </c>
      <c r="B47" s="51"/>
      <c r="C47" s="22">
        <f t="shared" ref="C47:D47" si="22">SUBTOTAL(9,C45:C46)</f>
        <v>110128.85069771449</v>
      </c>
      <c r="D47" s="29">
        <f t="shared" si="22"/>
        <v>139687.68099999998</v>
      </c>
      <c r="E47" s="187"/>
      <c r="F47" s="195"/>
      <c r="G47" s="195"/>
      <c r="H47" s="306">
        <f t="shared" ref="H47:J47" si="23">SUBTOTAL(9,H45:H46)</f>
        <v>22162125.355359618</v>
      </c>
      <c r="I47" s="574">
        <f t="shared" si="23"/>
        <v>0.32714002806284059</v>
      </c>
      <c r="J47" s="290">
        <f t="shared" si="23"/>
        <v>14535470.280771572</v>
      </c>
    </row>
    <row r="48" spans="1:10" ht="15.75" thickBot="1">
      <c r="A48" s="56" t="str">
        <f>'Facteur 1'!A48</f>
        <v>CONTENANTS ET EMBALLAGES TOTAL</v>
      </c>
      <c r="B48" s="52"/>
      <c r="C48" s="27">
        <f>SUBTOTAL(9,C19:C47)</f>
        <v>310448.29415596765</v>
      </c>
      <c r="D48" s="139">
        <f>SUBTOTAL(9,D19:D47)</f>
        <v>501933.17799999984</v>
      </c>
      <c r="E48" s="113"/>
      <c r="F48" s="114"/>
      <c r="G48" s="114"/>
      <c r="H48" s="289">
        <f>SUBTOTAL(9,H19:H47)</f>
        <v>67745073.834567487</v>
      </c>
      <c r="I48" s="571">
        <f>SUBTOTAL(9,I19:I47)</f>
        <v>1</v>
      </c>
      <c r="J48" s="289">
        <f>SUBTOTAL(9,J19:J47)</f>
        <v>44431952.784388222</v>
      </c>
    </row>
    <row r="49" spans="1:10">
      <c r="A49" s="38"/>
      <c r="B49" s="39"/>
      <c r="C49" s="35"/>
      <c r="D49" s="39"/>
      <c r="E49" s="119"/>
      <c r="F49" s="120"/>
      <c r="G49" s="120"/>
      <c r="H49" s="287"/>
      <c r="I49" s="64"/>
      <c r="J49" s="287"/>
    </row>
    <row r="50" spans="1:10" ht="15.75" thickBot="1">
      <c r="A50" s="57" t="str">
        <f>'Facteur 1'!A50</f>
        <v>TOTAL</v>
      </c>
      <c r="B50" s="53"/>
      <c r="C50" s="25">
        <f t="shared" ref="C50:D50" si="24">SUBTOTAL(9,C10:C48)</f>
        <v>422897.71955038316</v>
      </c>
      <c r="D50" s="31">
        <f t="shared" si="24"/>
        <v>642270.19699999993</v>
      </c>
      <c r="E50" s="121"/>
      <c r="F50" s="122"/>
      <c r="G50" s="122"/>
      <c r="H50" s="293">
        <f>SUBTOTAL(9,H10:H48)</f>
        <v>83346158.954586387</v>
      </c>
      <c r="I50" s="80"/>
      <c r="J50" s="293">
        <f>SUBTOTAL(9,J10:J48)</f>
        <v>56984323.027237289</v>
      </c>
    </row>
    <row r="51" spans="1:10" ht="15.75" thickTop="1">
      <c r="A51" s="38"/>
      <c r="B51" s="35"/>
      <c r="E51" s="108"/>
      <c r="F51" s="108"/>
      <c r="G51" s="108"/>
      <c r="H51" s="108"/>
      <c r="I51" s="37"/>
      <c r="J51" s="295"/>
    </row>
    <row r="52" spans="1:10">
      <c r="A52" s="42" t="str">
        <f>'Facteur 1'!A52</f>
        <v>Allocation des coûts du facteur par catégorie</v>
      </c>
      <c r="B52" s="87"/>
      <c r="C52" s="86"/>
      <c r="D52" s="86"/>
      <c r="E52" s="110"/>
      <c r="F52" s="110"/>
      <c r="G52" s="110"/>
      <c r="H52" s="110"/>
      <c r="I52" s="86"/>
      <c r="J52" s="296"/>
    </row>
    <row r="53" spans="1:10">
      <c r="A53" s="90" t="str">
        <f>'Facteur 1'!A53</f>
        <v>Imprimés</v>
      </c>
      <c r="B53" s="88"/>
      <c r="C53" s="85"/>
      <c r="D53" s="85"/>
      <c r="E53" s="111"/>
      <c r="F53" s="111"/>
      <c r="G53" s="111"/>
      <c r="H53" s="111"/>
      <c r="I53" s="85"/>
      <c r="J53" s="297">
        <f>'Coûts nets'!$G51*$E$8</f>
        <v>12552370.242849067</v>
      </c>
    </row>
    <row r="54" spans="1:10">
      <c r="A54" s="91" t="str">
        <f>'Facteur 1'!A54</f>
        <v>Contenants et emballages</v>
      </c>
      <c r="B54" s="49"/>
      <c r="C54" s="54"/>
      <c r="D54" s="54"/>
      <c r="E54" s="112"/>
      <c r="F54" s="112"/>
      <c r="G54" s="112"/>
      <c r="H54" s="112"/>
      <c r="I54" s="54"/>
      <c r="J54" s="298">
        <f>'Coûts nets'!$G52*$E$8</f>
        <v>44431952.784388222</v>
      </c>
    </row>
  </sheetData>
  <mergeCells count="2">
    <mergeCell ref="C6:D6"/>
    <mergeCell ref="E6:J6"/>
  </mergeCells>
  <pageMargins left="0.7" right="0.7" top="0.75" bottom="0.75" header="0.3" footer="0.3"/>
  <pageSetup scale="44" fitToHeight="0" orientation="landscape" r:id="rId1"/>
  <ignoredErrors>
    <ignoredError sqref="C34:C36 C27:C32 E26:G26 C39:C40 E38:G38 C42:C43 E41:G41 C45 E44:G44 D34:J36 D27:J32 D39:J40 D42:J43 D45:J45"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54</vt:i4>
      </vt:variant>
    </vt:vector>
  </HeadingPairs>
  <TitlesOfParts>
    <vt:vector size="67" baseType="lpstr">
      <vt:lpstr>Page couverture</vt:lpstr>
      <vt:lpstr>Sommaire exécutif</vt:lpstr>
      <vt:lpstr>Paramètres</vt:lpstr>
      <vt:lpstr>Déclaration</vt:lpstr>
      <vt:lpstr>Caractérisation</vt:lpstr>
      <vt:lpstr>Coûts nets</vt:lpstr>
      <vt:lpstr>Sommaire matières</vt:lpstr>
      <vt:lpstr>Facteur 1</vt:lpstr>
      <vt:lpstr>Facteur 2</vt:lpstr>
      <vt:lpstr>Facteur 3</vt:lpstr>
      <vt:lpstr>Frais de gestion &amp; RQ</vt:lpstr>
      <vt:lpstr>Crédit contenu recyclé</vt:lpstr>
      <vt:lpstr>Tarif</vt:lpstr>
      <vt:lpstr>AnnéeRéf</vt:lpstr>
      <vt:lpstr>AnnéeTarif</vt:lpstr>
      <vt:lpstr>AnticipationTarifFixe</vt:lpstr>
      <vt:lpstr>AutresParamètres</vt:lpstr>
      <vt:lpstr>CompensationMaxRM</vt:lpstr>
      <vt:lpstr>CoûtsAssumésEEQ</vt:lpstr>
      <vt:lpstr>CoûtsAssumésIndustrie</vt:lpstr>
      <vt:lpstr>CoûtsNetsAprèsMatOrph</vt:lpstr>
      <vt:lpstr>CoûtsNetsDéclarés</vt:lpstr>
      <vt:lpstr>CoutsNetsEstimé</vt:lpstr>
      <vt:lpstr>CoûtTotalCompenser</vt:lpstr>
      <vt:lpstr>Facteur1</vt:lpstr>
      <vt:lpstr>Facteur2</vt:lpstr>
      <vt:lpstr>Facteur3</vt:lpstr>
      <vt:lpstr>FondsRetraitCE</vt:lpstr>
      <vt:lpstr>FondsRetraitConjoint</vt:lpstr>
      <vt:lpstr>FondsRetraitImprimé</vt:lpstr>
      <vt:lpstr>FondsRisque</vt:lpstr>
      <vt:lpstr>FondsRisqueActuel</vt:lpstr>
      <vt:lpstr>FondsRisquePourcCible</vt:lpstr>
      <vt:lpstr>FraisAdminÉEQ</vt:lpstr>
      <vt:lpstr>FraisGestionImputés</vt:lpstr>
      <vt:lpstr>FraisMun</vt:lpstr>
      <vt:lpstr>FraisProvisionEtRisque</vt:lpstr>
      <vt:lpstr>FraisRDÉEQ</vt:lpstr>
      <vt:lpstr>FraisRQ</vt:lpstr>
      <vt:lpstr>Tarif!Impression_des_titres</vt:lpstr>
      <vt:lpstr>IndemnitéRQ</vt:lpstr>
      <vt:lpstr>ListeMatières</vt:lpstr>
      <vt:lpstr>ObjectifRecup</vt:lpstr>
      <vt:lpstr>PartCERelative</vt:lpstr>
      <vt:lpstr>PartCoutContenants</vt:lpstr>
      <vt:lpstr>PartCoutImprimés</vt:lpstr>
      <vt:lpstr>PartEEQ</vt:lpstr>
      <vt:lpstr>PartImprimésRelative</vt:lpstr>
      <vt:lpstr>PartIndustrie</vt:lpstr>
      <vt:lpstr>PourcMatOrphelines</vt:lpstr>
      <vt:lpstr>PourcPE</vt:lpstr>
      <vt:lpstr>ProvCréances</vt:lpstr>
      <vt:lpstr>RabaisCrédit</vt:lpstr>
      <vt:lpstr>rgDéclaration_Matières</vt:lpstr>
      <vt:lpstr>rgDéclaration_NbDécl</vt:lpstr>
      <vt:lpstr>rgDéclaration_QtéFinale</vt:lpstr>
      <vt:lpstr>rgTarif_Matières</vt:lpstr>
      <vt:lpstr>rgTarif_TxFinal</vt:lpstr>
      <vt:lpstr>TauxStewardship</vt:lpstr>
      <vt:lpstr>TonnageCrédit</vt:lpstr>
      <vt:lpstr>'Coûts nets'!Zone_d_impression</vt:lpstr>
      <vt:lpstr>'Crédit contenu recyclé'!Zone_d_impression</vt:lpstr>
      <vt:lpstr>Déclaration!Zone_d_impression</vt:lpstr>
      <vt:lpstr>'Frais de gestion &amp; RQ'!Zone_d_impression</vt:lpstr>
      <vt:lpstr>Paramètres!Zone_d_impression</vt:lpstr>
      <vt:lpstr>'Sommaire exécutif'!Zone_d_impression</vt:lpstr>
      <vt:lpstr>Tarif!Zone_d_impression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2015-11-03T16:43:59Z</dcterms:created>
  <dcterms:modified xsi:type="dcterms:W3CDTF">2018-10-26T14:02:45Z</dcterms:modified>
</cp:coreProperties>
</file>